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5.1 Annuitetslån" sheetId="34" r:id="rId1"/>
    <sheet name="5.1 Annuitetslån løsn" sheetId="62" r:id="rId2"/>
    <sheet name="5.1 Serielån" sheetId="36" r:id="rId3"/>
    <sheet name="5.1 Serielån løsn" sheetId="63" r:id="rId4"/>
    <sheet name="5.2 Obligasjon" sheetId="35" r:id="rId5"/>
    <sheet name="5.2 Obligasjon løsn" sheetId="64" r:id="rId6"/>
    <sheet name="5.3 Nåverdi" sheetId="38" r:id="rId7"/>
    <sheet name="5.3 Nåverdi løsn" sheetId="65" r:id="rId8"/>
    <sheet name="5.3 Investering" sheetId="52" r:id="rId9"/>
    <sheet name="5.3 Investering løsn" sheetId="66" r:id="rId10"/>
    <sheet name="5.3 To &quot;IR&quot;" sheetId="51" r:id="rId11"/>
    <sheet name="5.3 To&quot;IR&quot; løsn" sheetId="67" r:id="rId12"/>
  </sheets>
  <externalReferences>
    <externalReference r:id="rId13"/>
  </externalReferences>
  <definedNames>
    <definedName name="apr">#REF!</definedName>
    <definedName name="d_1">'[1]Løsn kap 5'!$E$164</definedName>
    <definedName name="d_2">'[1]Løsn kap 5'!$E$165</definedName>
    <definedName name="feb">#REF!</definedName>
    <definedName name="jan">#REF!</definedName>
    <definedName name="jun">#REF!</definedName>
    <definedName name="mai">#REF!</definedName>
    <definedName name="mar">#REF!</definedName>
    <definedName name="Matrise_A" localSheetId="1">#REF!</definedName>
    <definedName name="Matrise_A" localSheetId="3">#REF!</definedName>
    <definedName name="Matrise_A" localSheetId="5">#REF!</definedName>
    <definedName name="Matrise_A" localSheetId="9">#REF!</definedName>
    <definedName name="Matrise_A" localSheetId="7">#REF!</definedName>
    <definedName name="Matrise_A" localSheetId="11">#REF!</definedName>
    <definedName name="Matrise_A">#REF!</definedName>
    <definedName name="Matrise_B" localSheetId="1">#REF!</definedName>
    <definedName name="Matrise_B" localSheetId="3">#REF!</definedName>
    <definedName name="Matrise_B" localSheetId="5">#REF!</definedName>
    <definedName name="Matrise_B" localSheetId="9">#REF!</definedName>
    <definedName name="Matrise_B" localSheetId="7">#REF!</definedName>
    <definedName name="Matrise_B" localSheetId="11">#REF!</definedName>
    <definedName name="Matrise_B">#REF!</definedName>
    <definedName name="rente">'[1]Løsn kap 5'!$B$166</definedName>
    <definedName name="S">'[1]Løsn kap 5'!$B$164</definedName>
    <definedName name="sigma">'[1]Løsn kap 5'!$B$167</definedName>
    <definedName name="T">'[1]Løsn kap 5'!$B$168</definedName>
    <definedName name="X">'[1]Løsn kap 5'!$B$165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62" l="1"/>
  <c r="F3" i="62"/>
  <c r="B17" i="67" l="1"/>
  <c r="B16" i="67"/>
  <c r="B15" i="67"/>
  <c r="B14" i="67"/>
  <c r="B13" i="67"/>
  <c r="B12" i="67"/>
  <c r="B11" i="67"/>
  <c r="B10" i="67"/>
  <c r="B9" i="67"/>
  <c r="B6" i="67"/>
  <c r="B5" i="67"/>
  <c r="B15" i="66"/>
  <c r="B16" i="66" s="1"/>
  <c r="C9" i="66"/>
  <c r="C10" i="66" s="1"/>
  <c r="D8" i="66" s="1"/>
  <c r="B9" i="65"/>
  <c r="B7" i="65"/>
  <c r="B8" i="65" s="1"/>
  <c r="B13" i="64"/>
  <c r="B12" i="64"/>
  <c r="C16" i="63"/>
  <c r="K16" i="63" s="1"/>
  <c r="O15" i="63"/>
  <c r="B11" i="63"/>
  <c r="B10" i="63"/>
  <c r="D25" i="63" s="1"/>
  <c r="D3" i="63"/>
  <c r="B13" i="62"/>
  <c r="B12" i="62"/>
  <c r="B11" i="62"/>
  <c r="B9" i="62"/>
  <c r="B8" i="62"/>
  <c r="B14" i="62" s="1"/>
  <c r="D23" i="63" l="1"/>
  <c r="D17" i="63"/>
  <c r="D26" i="63"/>
  <c r="D19" i="63"/>
  <c r="D27" i="63"/>
  <c r="E5" i="63"/>
  <c r="E6" i="63" s="1"/>
  <c r="E7" i="63" s="1"/>
  <c r="D21" i="63"/>
  <c r="D9" i="66"/>
  <c r="D12" i="66" s="1"/>
  <c r="D13" i="66" s="1"/>
  <c r="D15" i="66" s="1"/>
  <c r="D16" i="66" s="1"/>
  <c r="C12" i="66"/>
  <c r="C13" i="66" s="1"/>
  <c r="C15" i="66" s="1"/>
  <c r="C16" i="66" s="1"/>
  <c r="M27" i="63"/>
  <c r="M25" i="63"/>
  <c r="M23" i="63"/>
  <c r="M21" i="63"/>
  <c r="M19" i="63"/>
  <c r="M17" i="63"/>
  <c r="N16" i="63"/>
  <c r="K17" i="63" s="1"/>
  <c r="M22" i="63"/>
  <c r="M18" i="63"/>
  <c r="M26" i="63"/>
  <c r="M24" i="63"/>
  <c r="M20" i="63"/>
  <c r="M16" i="63"/>
  <c r="E16" i="63"/>
  <c r="L16" i="63"/>
  <c r="O16" i="63" s="1"/>
  <c r="D16" i="63"/>
  <c r="D18" i="63"/>
  <c r="D20" i="63"/>
  <c r="D22" i="63"/>
  <c r="D24" i="63"/>
  <c r="F16" i="63" l="1"/>
  <c r="G16" i="63" s="1"/>
  <c r="C17" i="63" s="1"/>
  <c r="E17" i="63" s="1"/>
  <c r="F17" i="63" s="1"/>
  <c r="G17" i="63" s="1"/>
  <c r="C18" i="63" s="1"/>
  <c r="D10" i="66"/>
  <c r="E8" i="66" s="1"/>
  <c r="L17" i="63"/>
  <c r="O17" i="63" s="1"/>
  <c r="N17" i="63"/>
  <c r="K18" i="63" s="1"/>
  <c r="E10" i="66" l="1"/>
  <c r="F8" i="66" s="1"/>
  <c r="E9" i="66"/>
  <c r="E12" i="66" s="1"/>
  <c r="E13" i="66" s="1"/>
  <c r="E15" i="66" s="1"/>
  <c r="E16" i="66" s="1"/>
  <c r="E18" i="63"/>
  <c r="F18" i="63" s="1"/>
  <c r="G18" i="63" s="1"/>
  <c r="C19" i="63" s="1"/>
  <c r="N18" i="63"/>
  <c r="K19" i="63" s="1"/>
  <c r="L18" i="63"/>
  <c r="O18" i="63" s="1"/>
  <c r="F9" i="66" l="1"/>
  <c r="F12" i="66" s="1"/>
  <c r="F13" i="66" s="1"/>
  <c r="F15" i="66" s="1"/>
  <c r="F16" i="66" s="1"/>
  <c r="E19" i="63"/>
  <c r="F19" i="63" s="1"/>
  <c r="G19" i="63" s="1"/>
  <c r="C20" i="63" s="1"/>
  <c r="N19" i="63"/>
  <c r="K20" i="63" s="1"/>
  <c r="L19" i="63"/>
  <c r="O19" i="63" s="1"/>
  <c r="F10" i="66" l="1"/>
  <c r="G8" i="66" s="1"/>
  <c r="E20" i="63"/>
  <c r="F20" i="63" s="1"/>
  <c r="G20" i="63" s="1"/>
  <c r="C21" i="63" s="1"/>
  <c r="N20" i="63"/>
  <c r="K21" i="63" s="1"/>
  <c r="L20" i="63"/>
  <c r="O20" i="63" s="1"/>
  <c r="G10" i="66" l="1"/>
  <c r="H8" i="66" s="1"/>
  <c r="G9" i="66"/>
  <c r="G12" i="66" s="1"/>
  <c r="G13" i="66" s="1"/>
  <c r="G15" i="66" s="1"/>
  <c r="G16" i="66" s="1"/>
  <c r="L21" i="63"/>
  <c r="O21" i="63" s="1"/>
  <c r="N21" i="63"/>
  <c r="K22" i="63" s="1"/>
  <c r="E21" i="63"/>
  <c r="F21" i="63" s="1"/>
  <c r="G21" i="63" s="1"/>
  <c r="C22" i="63" s="1"/>
  <c r="H9" i="66" l="1"/>
  <c r="H12" i="66" s="1"/>
  <c r="H13" i="66" s="1"/>
  <c r="H15" i="66" s="1"/>
  <c r="H16" i="66" s="1"/>
  <c r="E22" i="63"/>
  <c r="F22" i="63" s="1"/>
  <c r="G22" i="63" s="1"/>
  <c r="C23" i="63" s="1"/>
  <c r="N22" i="63"/>
  <c r="K23" i="63" s="1"/>
  <c r="L22" i="63"/>
  <c r="O22" i="63" s="1"/>
  <c r="H10" i="66" l="1"/>
  <c r="I8" i="66" s="1"/>
  <c r="N23" i="63"/>
  <c r="K24" i="63" s="1"/>
  <c r="L23" i="63"/>
  <c r="O23" i="63" s="1"/>
  <c r="E23" i="63"/>
  <c r="F23" i="63" s="1"/>
  <c r="G23" i="63" s="1"/>
  <c r="C24" i="63" s="1"/>
  <c r="I10" i="66" l="1"/>
  <c r="J8" i="66" s="1"/>
  <c r="J9" i="66" s="1"/>
  <c r="J16" i="66" s="1"/>
  <c r="B18" i="66" s="1"/>
  <c r="I9" i="66"/>
  <c r="I12" i="66" s="1"/>
  <c r="I13" i="66" s="1"/>
  <c r="I15" i="66" s="1"/>
  <c r="I16" i="66" s="1"/>
  <c r="E24" i="63"/>
  <c r="F24" i="63" s="1"/>
  <c r="G24" i="63" s="1"/>
  <c r="C25" i="63" s="1"/>
  <c r="N24" i="63"/>
  <c r="K25" i="63" s="1"/>
  <c r="L24" i="63"/>
  <c r="O24" i="63" s="1"/>
  <c r="E25" i="63" l="1"/>
  <c r="F25" i="63" s="1"/>
  <c r="G25" i="63" s="1"/>
  <c r="C26" i="63" s="1"/>
  <c r="N25" i="63"/>
  <c r="K26" i="63" s="1"/>
  <c r="L25" i="63"/>
  <c r="O25" i="63" s="1"/>
  <c r="E26" i="63" l="1"/>
  <c r="F26" i="63" s="1"/>
  <c r="G26" i="63" s="1"/>
  <c r="C27" i="63" s="1"/>
  <c r="N26" i="63"/>
  <c r="K27" i="63" s="1"/>
  <c r="L26" i="63"/>
  <c r="O26" i="63" s="1"/>
  <c r="L27" i="63" l="1"/>
  <c r="O27" i="63" s="1"/>
  <c r="L29" i="63" s="1"/>
  <c r="L30" i="63" s="1"/>
  <c r="N27" i="63"/>
  <c r="E27" i="63"/>
  <c r="F27" i="63" s="1"/>
  <c r="G27" i="63" s="1"/>
  <c r="B11" i="36" l="1"/>
  <c r="B10" i="36"/>
  <c r="B9" i="34" l="1"/>
  <c r="B8" i="34"/>
</calcChain>
</file>

<file path=xl/sharedStrings.xml><?xml version="1.0" encoding="utf-8"?>
<sst xmlns="http://schemas.openxmlformats.org/spreadsheetml/2006/main" count="147" uniqueCount="74">
  <si>
    <t>Rente p.a.</t>
  </si>
  <si>
    <t>Antall år</t>
  </si>
  <si>
    <t>Terminbeløp</t>
  </si>
  <si>
    <t>Rente per termin</t>
  </si>
  <si>
    <t>Lån</t>
  </si>
  <si>
    <t>Ant. terminer per år</t>
  </si>
  <si>
    <t>Ant. terminer totalt</t>
  </si>
  <si>
    <t>Pris</t>
  </si>
  <si>
    <t>Pris per 100</t>
  </si>
  <si>
    <t>Antall utbetalinger per år</t>
  </si>
  <si>
    <t>Innløsningsverdi per 100</t>
  </si>
  <si>
    <t>Avkastningakrav per år</t>
  </si>
  <si>
    <t>Kupongrente</t>
  </si>
  <si>
    <t>Forfallsdato</t>
  </si>
  <si>
    <t>Betalingsdato</t>
  </si>
  <si>
    <t>Pålydende</t>
  </si>
  <si>
    <t>Obligasjon</t>
  </si>
  <si>
    <t>Nominell rente p.a.</t>
  </si>
  <si>
    <t>Etableringsgebyr</t>
  </si>
  <si>
    <t>Termingebyr</t>
  </si>
  <si>
    <t>Nom. rente per termin</t>
  </si>
  <si>
    <t>Kont.strøm</t>
  </si>
  <si>
    <t>Lån IB</t>
  </si>
  <si>
    <t>R + A</t>
  </si>
  <si>
    <t>Renter</t>
  </si>
  <si>
    <t>Avdrag</t>
  </si>
  <si>
    <t>Lån UB</t>
  </si>
  <si>
    <t>Eff. rente per termin:</t>
  </si>
  <si>
    <t>Eff. rente per år:</t>
  </si>
  <si>
    <t>Effektiv rente uten gebyr:</t>
  </si>
  <si>
    <t>Terminbeløp m/geb</t>
  </si>
  <si>
    <t>Eff. rente per termin</t>
  </si>
  <si>
    <t>Eff. rente p.a.</t>
  </si>
  <si>
    <t xml:space="preserve"> =-AVDRAG(B11;B10;B3+B7)+B8</t>
  </si>
  <si>
    <t xml:space="preserve"> =RENTE(B10;-E5;B3)</t>
  </si>
  <si>
    <t xml:space="preserve"> =B4*B5</t>
  </si>
  <si>
    <t xml:space="preserve"> =B6/B5</t>
  </si>
  <si>
    <t xml:space="preserve"> Annuitetslån</t>
  </si>
  <si>
    <t xml:space="preserve"> Serielån</t>
  </si>
  <si>
    <t xml:space="preserve"> =EFFEKTIV.RENTE(B5*E6;B5)</t>
  </si>
  <si>
    <t xml:space="preserve"> =IR(N15:N27)</t>
  </si>
  <si>
    <t xml:space="preserve"> =EFFEKTIV.RENTE(B5*K29;B5)</t>
  </si>
  <si>
    <t>PV</t>
  </si>
  <si>
    <t>r</t>
  </si>
  <si>
    <t>År</t>
  </si>
  <si>
    <t>NPV</t>
  </si>
  <si>
    <t>Investering</t>
  </si>
  <si>
    <t>Kontantstrøm</t>
  </si>
  <si>
    <t xml:space="preserve">Avkastningskrav </t>
  </si>
  <si>
    <t xml:space="preserve">NPV </t>
  </si>
  <si>
    <t xml:space="preserve">Nåverdier </t>
  </si>
  <si>
    <t xml:space="preserve">  fra resterende avskrivninger</t>
  </si>
  <si>
    <t xml:space="preserve">Kontantoverskudd </t>
  </si>
  <si>
    <t xml:space="preserve">  Nåverdi av skattelette</t>
  </si>
  <si>
    <t xml:space="preserve">Skatt </t>
  </si>
  <si>
    <t xml:space="preserve">Skattbart overskudd </t>
  </si>
  <si>
    <t xml:space="preserve">Anleggsmiddel UB </t>
  </si>
  <si>
    <t xml:space="preserve">Avskrivning </t>
  </si>
  <si>
    <t xml:space="preserve">Anleggsmiddel IB </t>
  </si>
  <si>
    <t xml:space="preserve">Utbetaling </t>
  </si>
  <si>
    <t xml:space="preserve">Innbetaling </t>
  </si>
  <si>
    <t>Skattesats</t>
  </si>
  <si>
    <t>Avskr.sats</t>
  </si>
  <si>
    <t>(Tall i 1 000)</t>
  </si>
  <si>
    <t>IR</t>
  </si>
  <si>
    <t xml:space="preserve">  =NNV($B$2;$C$5:$E$5)</t>
  </si>
  <si>
    <t xml:space="preserve">  =B5+B7</t>
  </si>
  <si>
    <t xml:space="preserve">  =IR(B5:E5)</t>
  </si>
  <si>
    <t xml:space="preserve"> =SUMMER(B16:J16)</t>
  </si>
  <si>
    <t xml:space="preserve"> =E15/(1+$B$19)^E4</t>
  </si>
  <si>
    <t xml:space="preserve"> =-J9*$C$2/((1+$B$19)^I4*($B$19+$B$2))</t>
  </si>
  <si>
    <r>
      <t>"IRR"</t>
    </r>
    <r>
      <rPr>
        <sz val="10"/>
        <rFont val="Arial"/>
        <family val="2"/>
      </rPr>
      <t xml:space="preserve"> (feil)</t>
    </r>
  </si>
  <si>
    <t xml:space="preserve">År         </t>
  </si>
  <si>
    <t>Termin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</si>
</sst>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kr&quot;\ #,##0.00;[Red]&quot;kr&quot;\ \-#,##0.00"/>
    <numFmt numFmtId="43" formatCode="_ * #,##0.00_ ;_ * \-#,##0.00_ ;_ * &quot;-&quot;??_ ;_ @_ "/>
    <numFmt numFmtId="164" formatCode="_ * #,##0_ ;_ * \-#,##0_ ;_ * &quot;-&quot;??_ ;_ @_ "/>
    <numFmt numFmtId="165" formatCode="0.0\ %"/>
    <numFmt numFmtId="166" formatCode="0.000\ %"/>
    <numFmt numFmtId="167" formatCode="0.0000\ %"/>
    <numFmt numFmtId="168" formatCode="0.0"/>
    <numFmt numFmtId="169" formatCode="0.00000\ %"/>
    <numFmt numFmtId="170" formatCode="#,##0.0000"/>
    <numFmt numFmtId="171" formatCode="#,##0.0000000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9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164" fontId="0" fillId="0" borderId="0" xfId="1" applyNumberFormat="1" applyFont="1"/>
    <xf numFmtId="0" fontId="0" fillId="2" borderId="1" xfId="0" applyFill="1" applyBorder="1"/>
    <xf numFmtId="3" fontId="0" fillId="0" borderId="0" xfId="0" applyNumberFormat="1"/>
    <xf numFmtId="165" fontId="0" fillId="0" borderId="0" xfId="0" applyNumberFormat="1"/>
    <xf numFmtId="166" fontId="0" fillId="0" borderId="0" xfId="2" applyNumberFormat="1" applyFont="1"/>
    <xf numFmtId="10" fontId="0" fillId="0" borderId="0" xfId="0" applyNumberFormat="1"/>
    <xf numFmtId="166" fontId="0" fillId="0" borderId="0" xfId="0" applyNumberFormat="1"/>
    <xf numFmtId="8" fontId="0" fillId="0" borderId="0" xfId="0" applyNumberFormat="1"/>
    <xf numFmtId="167" fontId="0" fillId="0" borderId="0" xfId="0" applyNumberFormat="1"/>
    <xf numFmtId="2" fontId="0" fillId="0" borderId="0" xfId="0" applyNumberFormat="1"/>
    <xf numFmtId="168" fontId="0" fillId="0" borderId="0" xfId="0" applyNumberFormat="1"/>
    <xf numFmtId="4" fontId="3" fillId="0" borderId="0" xfId="0" applyNumberFormat="1" applyFont="1"/>
    <xf numFmtId="4" fontId="0" fillId="0" borderId="0" xfId="0" applyNumberFormat="1"/>
    <xf numFmtId="169" fontId="0" fillId="0" borderId="0" xfId="2" applyNumberFormat="1" applyFont="1"/>
    <xf numFmtId="10" fontId="0" fillId="2" borderId="1" xfId="2" applyNumberFormat="1" applyFont="1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0" xfId="6" applyAlignment="1" applyProtection="1"/>
    <xf numFmtId="0" fontId="3" fillId="0" borderId="0" xfId="0" applyFont="1"/>
    <xf numFmtId="165" fontId="0" fillId="2" borderId="1" xfId="2" applyNumberFormat="1" applyFont="1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Border="1"/>
    <xf numFmtId="10" fontId="0" fillId="0" borderId="0" xfId="2" applyNumberFormat="1" applyFont="1"/>
    <xf numFmtId="170" fontId="0" fillId="0" borderId="0" xfId="0" applyNumberFormat="1"/>
    <xf numFmtId="171" fontId="0" fillId="0" borderId="0" xfId="0" applyNumberFormat="1"/>
    <xf numFmtId="0" fontId="2" fillId="0" borderId="0" xfId="3"/>
    <xf numFmtId="0" fontId="6" fillId="0" borderId="0" xfId="3" applyFont="1" applyAlignment="1">
      <alignment horizontal="center"/>
    </xf>
    <xf numFmtId="0" fontId="2" fillId="0" borderId="0" xfId="3" applyAlignment="1">
      <alignment horizontal="center"/>
    </xf>
    <xf numFmtId="9" fontId="0" fillId="2" borderId="1" xfId="4" applyFont="1" applyFill="1" applyBorder="1"/>
    <xf numFmtId="3" fontId="2" fillId="0" borderId="0" xfId="3" applyNumberFormat="1" applyAlignment="1">
      <alignment horizontal="center"/>
    </xf>
    <xf numFmtId="3" fontId="2" fillId="2" borderId="1" xfId="3" applyNumberFormat="1" applyFill="1" applyBorder="1" applyAlignment="1">
      <alignment horizontal="center"/>
    </xf>
    <xf numFmtId="9" fontId="0" fillId="0" borderId="0" xfId="4" applyFont="1" applyAlignment="1">
      <alignment horizontal="center"/>
    </xf>
    <xf numFmtId="165" fontId="2" fillId="0" borderId="0" xfId="3" applyNumberFormat="1"/>
    <xf numFmtId="9" fontId="2" fillId="0" borderId="0" xfId="3" applyNumberFormat="1" applyAlignment="1">
      <alignment horizontal="center"/>
    </xf>
    <xf numFmtId="0" fontId="6" fillId="0" borderId="0" xfId="3" applyFont="1"/>
    <xf numFmtId="9" fontId="2" fillId="0" borderId="0" xfId="3" applyNumberFormat="1" applyBorder="1" applyAlignment="1">
      <alignment horizontal="center"/>
    </xf>
    <xf numFmtId="0" fontId="2" fillId="0" borderId="0" xfId="7"/>
    <xf numFmtId="38" fontId="2" fillId="0" borderId="0" xfId="7" applyNumberFormat="1"/>
    <xf numFmtId="165" fontId="5" fillId="0" borderId="0" xfId="8" applyNumberFormat="1" applyFont="1" applyAlignment="1">
      <alignment horizontal="center"/>
    </xf>
    <xf numFmtId="0" fontId="2" fillId="0" borderId="0" xfId="7" applyAlignment="1">
      <alignment horizontal="right"/>
    </xf>
    <xf numFmtId="38" fontId="7" fillId="0" borderId="0" xfId="7" applyNumberFormat="1" applyFont="1" applyAlignment="1">
      <alignment horizontal="center"/>
    </xf>
    <xf numFmtId="0" fontId="8" fillId="0" borderId="0" xfId="7" applyFont="1" applyAlignment="1">
      <alignment horizontal="right"/>
    </xf>
    <xf numFmtId="0" fontId="6" fillId="0" borderId="0" xfId="7" quotePrefix="1" applyFont="1" applyAlignment="1">
      <alignment horizontal="right"/>
    </xf>
    <xf numFmtId="0" fontId="2" fillId="0" borderId="0" xfId="7" quotePrefix="1" applyAlignment="1">
      <alignment horizontal="right"/>
    </xf>
    <xf numFmtId="0" fontId="5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3" fontId="2" fillId="0" borderId="0" xfId="7" applyNumberFormat="1"/>
    <xf numFmtId="3" fontId="2" fillId="0" borderId="0" xfId="7" applyNumberFormat="1" applyBorder="1"/>
    <xf numFmtId="3" fontId="0" fillId="0" borderId="0" xfId="8" applyNumberFormat="1" applyFont="1"/>
    <xf numFmtId="38" fontId="2" fillId="0" borderId="0" xfId="7" applyNumberFormat="1" applyFont="1"/>
    <xf numFmtId="3" fontId="2" fillId="0" borderId="0" xfId="7" applyNumberFormat="1" applyFont="1"/>
    <xf numFmtId="0" fontId="2" fillId="0" borderId="0" xfId="7" applyAlignment="1">
      <alignment horizontal="center"/>
    </xf>
    <xf numFmtId="38" fontId="2" fillId="0" borderId="0" xfId="7" applyNumberFormat="1" applyAlignment="1">
      <alignment horizontal="center"/>
    </xf>
    <xf numFmtId="0" fontId="7" fillId="0" borderId="0" xfId="7" applyFont="1"/>
    <xf numFmtId="165" fontId="0" fillId="0" borderId="0" xfId="8" applyNumberFormat="1" applyFont="1" applyAlignment="1">
      <alignment horizontal="center"/>
    </xf>
    <xf numFmtId="9" fontId="0" fillId="0" borderId="0" xfId="8" applyFont="1" applyAlignment="1">
      <alignment horizontal="center"/>
    </xf>
    <xf numFmtId="0" fontId="2" fillId="0" borderId="0" xfId="3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0" borderId="0" xfId="3" applyNumberFormat="1"/>
    <xf numFmtId="38" fontId="2" fillId="0" borderId="0" xfId="3" applyNumberFormat="1" applyFont="1" applyBorder="1"/>
    <xf numFmtId="0" fontId="10" fillId="0" borderId="0" xfId="7" applyFont="1" applyAlignment="1">
      <alignment horizontal="right"/>
    </xf>
    <xf numFmtId="3" fontId="5" fillId="0" borderId="0" xfId="7" applyNumberFormat="1" applyFont="1" applyAlignment="1">
      <alignment horizontal="center"/>
    </xf>
    <xf numFmtId="3" fontId="9" fillId="0" borderId="0" xfId="7" applyNumberFormat="1" applyFont="1"/>
    <xf numFmtId="38" fontId="9" fillId="0" borderId="0" xfId="7" applyNumberFormat="1" applyFont="1"/>
    <xf numFmtId="3" fontId="2" fillId="0" borderId="0" xfId="3" applyNumberFormat="1" applyAlignment="1">
      <alignment horizontal="center"/>
    </xf>
    <xf numFmtId="0" fontId="2" fillId="0" borderId="0" xfId="3" applyAlignment="1">
      <alignment horizontal="center"/>
    </xf>
  </cellXfs>
  <cellStyles count="9">
    <cellStyle name="Hyperkobling 2" xfId="6"/>
    <cellStyle name="Komma" xfId="1" builtinId="3"/>
    <cellStyle name="Normal" xfId="0" builtinId="0"/>
    <cellStyle name="Normal 2" xfId="3"/>
    <cellStyle name="Normal 3" xfId="7"/>
    <cellStyle name="Normal 4" xfId="5"/>
    <cellStyle name="Prosent" xfId="2" builtinId="5"/>
    <cellStyle name="Prosent 2" xfId="4"/>
    <cellStyle name="Prosent 3" xfId="8"/>
  </cellStyles>
  <dxfs count="0"/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51932785773491"/>
          <c:y val="0.13756684837367919"/>
          <c:w val="0.66666867606058688"/>
          <c:h val="0.634923915570828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'5.3 To"IR" løsn'!$A$9:$A$17</c:f>
              <c:numCache>
                <c:formatCode>0%</c:formatCode>
                <c:ptCount val="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</c:numCache>
            </c:numRef>
          </c:xVal>
          <c:yVal>
            <c:numRef>
              <c:f>'5.3 To"IR" løsn'!$B$9:$B$17</c:f>
              <c:numCache>
                <c:formatCode>#,##0</c:formatCode>
                <c:ptCount val="9"/>
                <c:pt idx="0">
                  <c:v>-480000</c:v>
                </c:pt>
                <c:pt idx="1">
                  <c:v>-288350.63437139243</c:v>
                </c:pt>
                <c:pt idx="2">
                  <c:v>-147928.9940828383</c:v>
                </c:pt>
                <c:pt idx="3">
                  <c:v>-53399.786400854588</c:v>
                </c:pt>
                <c:pt idx="4">
                  <c:v>0</c:v>
                </c:pt>
                <c:pt idx="5">
                  <c:v>16528.925619833171</c:v>
                </c:pt>
                <c:pt idx="6">
                  <c:v>0</c:v>
                </c:pt>
                <c:pt idx="7">
                  <c:v>-46168.051708221436</c:v>
                </c:pt>
                <c:pt idx="8">
                  <c:v>-118906.06420927495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2E-4A02-A477-683D5E08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479168"/>
        <c:axId val="101481088"/>
      </c:scatterChart>
      <c:valAx>
        <c:axId val="101479168"/>
        <c:scaling>
          <c:orientation val="minMax"/>
          <c:max val="0.14000000000000001"/>
          <c:min val="6.0000000000000032E-2"/>
        </c:scaling>
        <c:delete val="0"/>
        <c:axPos val="b"/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101481088"/>
        <c:crosses val="autoZero"/>
        <c:crossBetween val="midCat"/>
        <c:majorUnit val="2.0000000000000011E-2"/>
      </c:valAx>
      <c:valAx>
        <c:axId val="101481088"/>
        <c:scaling>
          <c:orientation val="minMax"/>
          <c:max val="20000"/>
          <c:min val="-2000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b-NO"/>
                  <a:t>NPV</a:t>
                </a:r>
              </a:p>
            </c:rich>
          </c:tx>
          <c:layout>
            <c:manualLayout>
              <c:xMode val="edge"/>
              <c:yMode val="edge"/>
              <c:x val="4.6296435837540693E-2"/>
              <c:y val="0.380954349342497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101479168"/>
        <c:crosses val="autoZero"/>
        <c:crossBetween val="midCat"/>
        <c:majorUnit val="1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b-NO"/>
    </a:p>
  </c:txPr>
  <c:printSettings>
    <c:headerFooter alignWithMargins="0"/>
    <c:pageMargins b="0.98425196899999956" l="0.78740157499999996" r="0.78740157499999996" t="0.98425196899999956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5</xdr:row>
      <xdr:rowOff>76200</xdr:rowOff>
    </xdr:from>
    <xdr:to>
      <xdr:col>5</xdr:col>
      <xdr:colOff>723900</xdr:colOff>
      <xdr:row>16</xdr:row>
      <xdr:rowOff>95250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k_finansmodeller_221206/Regneark/LosningerPaaOppgav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øsn kap 1"/>
      <sheetName val="Løsn kap 2"/>
      <sheetName val="Løsn kap 3"/>
      <sheetName val="Løsn kap 4"/>
      <sheetName val="Løsn kap 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4">
          <cell r="B164">
            <v>100</v>
          </cell>
          <cell r="E164">
            <v>0.15833333333333335</v>
          </cell>
        </row>
        <row r="165">
          <cell r="B165">
            <v>100</v>
          </cell>
          <cell r="E165">
            <v>8.3333333333333592E-3</v>
          </cell>
        </row>
        <row r="166">
          <cell r="B166">
            <v>0.05</v>
          </cell>
        </row>
        <row r="167">
          <cell r="B167">
            <v>0.3</v>
          </cell>
        </row>
        <row r="168">
          <cell r="B168">
            <v>0.25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zoomScale="115" zoomScaleNormal="115" workbookViewId="0"/>
  </sheetViews>
  <sheetFormatPr baseColWidth="10" defaultRowHeight="15" x14ac:dyDescent="0.25"/>
  <cols>
    <col min="1" max="1" width="23.42578125" customWidth="1"/>
    <col min="2" max="3" width="11.85546875" customWidth="1"/>
    <col min="5" max="5" width="12.28515625" bestFit="1" customWidth="1"/>
  </cols>
  <sheetData>
    <row r="2" spans="1:6" x14ac:dyDescent="0.25">
      <c r="A2" t="s">
        <v>4</v>
      </c>
      <c r="B2" s="3">
        <v>3000000</v>
      </c>
      <c r="C2" s="3"/>
    </row>
    <row r="3" spans="1:6" x14ac:dyDescent="0.25">
      <c r="A3" t="s">
        <v>0</v>
      </c>
      <c r="B3" s="4">
        <v>0.03</v>
      </c>
      <c r="C3" s="4"/>
    </row>
    <row r="4" spans="1:6" x14ac:dyDescent="0.25">
      <c r="A4" t="s">
        <v>1</v>
      </c>
      <c r="B4">
        <v>20</v>
      </c>
    </row>
    <row r="5" spans="1:6" x14ac:dyDescent="0.25">
      <c r="A5" t="s">
        <v>5</v>
      </c>
      <c r="B5">
        <v>12</v>
      </c>
    </row>
    <row r="6" spans="1:6" x14ac:dyDescent="0.25">
      <c r="A6" t="s">
        <v>2</v>
      </c>
      <c r="B6" s="3">
        <v>20000</v>
      </c>
      <c r="C6" s="3"/>
      <c r="E6" s="8"/>
    </row>
    <row r="8" spans="1:6" x14ac:dyDescent="0.25">
      <c r="A8" t="s">
        <v>3</v>
      </c>
      <c r="B8" s="7">
        <f>B3/B5</f>
        <v>2.5000000000000001E-3</v>
      </c>
      <c r="C8" s="7"/>
    </row>
    <row r="9" spans="1:6" x14ac:dyDescent="0.25">
      <c r="A9" t="s">
        <v>6</v>
      </c>
      <c r="B9">
        <f>B4*B5</f>
        <v>240</v>
      </c>
    </row>
    <row r="11" spans="1:6" x14ac:dyDescent="0.25">
      <c r="A11" t="s">
        <v>2</v>
      </c>
      <c r="B11" s="1"/>
      <c r="C11" s="1"/>
    </row>
    <row r="12" spans="1:6" x14ac:dyDescent="0.25">
      <c r="A12" t="s">
        <v>1</v>
      </c>
      <c r="B12" s="11"/>
      <c r="C12" s="11"/>
      <c r="F12" s="9"/>
    </row>
    <row r="13" spans="1:6" x14ac:dyDescent="0.25">
      <c r="A13" t="s">
        <v>0</v>
      </c>
      <c r="B13" s="6"/>
      <c r="C13" s="6"/>
    </row>
    <row r="14" spans="1:6" x14ac:dyDescent="0.25">
      <c r="A14" t="s">
        <v>4</v>
      </c>
      <c r="B14" s="1"/>
      <c r="C14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="115" zoomScaleNormal="115" workbookViewId="0">
      <selection activeCell="A2" sqref="A2"/>
    </sheetView>
  </sheetViews>
  <sheetFormatPr baseColWidth="10" defaultRowHeight="12.75" x14ac:dyDescent="0.2"/>
  <cols>
    <col min="1" max="1" width="18" style="37" customWidth="1"/>
    <col min="2" max="9" width="10.7109375" style="37" customWidth="1"/>
    <col min="10" max="256" width="11.42578125" style="37"/>
    <col min="257" max="257" width="20.140625" style="37" customWidth="1"/>
    <col min="258" max="512" width="11.42578125" style="37"/>
    <col min="513" max="513" width="20.140625" style="37" customWidth="1"/>
    <col min="514" max="768" width="11.42578125" style="37"/>
    <col min="769" max="769" width="20.140625" style="37" customWidth="1"/>
    <col min="770" max="1024" width="11.42578125" style="37"/>
    <col min="1025" max="1025" width="20.140625" style="37" customWidth="1"/>
    <col min="1026" max="1280" width="11.42578125" style="37"/>
    <col min="1281" max="1281" width="20.140625" style="37" customWidth="1"/>
    <col min="1282" max="1536" width="11.42578125" style="37"/>
    <col min="1537" max="1537" width="20.140625" style="37" customWidth="1"/>
    <col min="1538" max="1792" width="11.42578125" style="37"/>
    <col min="1793" max="1793" width="20.140625" style="37" customWidth="1"/>
    <col min="1794" max="2048" width="11.42578125" style="37"/>
    <col min="2049" max="2049" width="20.140625" style="37" customWidth="1"/>
    <col min="2050" max="2304" width="11.42578125" style="37"/>
    <col min="2305" max="2305" width="20.140625" style="37" customWidth="1"/>
    <col min="2306" max="2560" width="11.42578125" style="37"/>
    <col min="2561" max="2561" width="20.140625" style="37" customWidth="1"/>
    <col min="2562" max="2816" width="11.42578125" style="37"/>
    <col min="2817" max="2817" width="20.140625" style="37" customWidth="1"/>
    <col min="2818" max="3072" width="11.42578125" style="37"/>
    <col min="3073" max="3073" width="20.140625" style="37" customWidth="1"/>
    <col min="3074" max="3328" width="11.42578125" style="37"/>
    <col min="3329" max="3329" width="20.140625" style="37" customWidth="1"/>
    <col min="3330" max="3584" width="11.42578125" style="37"/>
    <col min="3585" max="3585" width="20.140625" style="37" customWidth="1"/>
    <col min="3586" max="3840" width="11.42578125" style="37"/>
    <col min="3841" max="3841" width="20.140625" style="37" customWidth="1"/>
    <col min="3842" max="4096" width="11.42578125" style="37"/>
    <col min="4097" max="4097" width="20.140625" style="37" customWidth="1"/>
    <col min="4098" max="4352" width="11.42578125" style="37"/>
    <col min="4353" max="4353" width="20.140625" style="37" customWidth="1"/>
    <col min="4354" max="4608" width="11.42578125" style="37"/>
    <col min="4609" max="4609" width="20.140625" style="37" customWidth="1"/>
    <col min="4610" max="4864" width="11.42578125" style="37"/>
    <col min="4865" max="4865" width="20.140625" style="37" customWidth="1"/>
    <col min="4866" max="5120" width="11.42578125" style="37"/>
    <col min="5121" max="5121" width="20.140625" style="37" customWidth="1"/>
    <col min="5122" max="5376" width="11.42578125" style="37"/>
    <col min="5377" max="5377" width="20.140625" style="37" customWidth="1"/>
    <col min="5378" max="5632" width="11.42578125" style="37"/>
    <col min="5633" max="5633" width="20.140625" style="37" customWidth="1"/>
    <col min="5634" max="5888" width="11.42578125" style="37"/>
    <col min="5889" max="5889" width="20.140625" style="37" customWidth="1"/>
    <col min="5890" max="6144" width="11.42578125" style="37"/>
    <col min="6145" max="6145" width="20.140625" style="37" customWidth="1"/>
    <col min="6146" max="6400" width="11.42578125" style="37"/>
    <col min="6401" max="6401" width="20.140625" style="37" customWidth="1"/>
    <col min="6402" max="6656" width="11.42578125" style="37"/>
    <col min="6657" max="6657" width="20.140625" style="37" customWidth="1"/>
    <col min="6658" max="6912" width="11.42578125" style="37"/>
    <col min="6913" max="6913" width="20.140625" style="37" customWidth="1"/>
    <col min="6914" max="7168" width="11.42578125" style="37"/>
    <col min="7169" max="7169" width="20.140625" style="37" customWidth="1"/>
    <col min="7170" max="7424" width="11.42578125" style="37"/>
    <col min="7425" max="7425" width="20.140625" style="37" customWidth="1"/>
    <col min="7426" max="7680" width="11.42578125" style="37"/>
    <col min="7681" max="7681" width="20.140625" style="37" customWidth="1"/>
    <col min="7682" max="7936" width="11.42578125" style="37"/>
    <col min="7937" max="7937" width="20.140625" style="37" customWidth="1"/>
    <col min="7938" max="8192" width="11.42578125" style="37"/>
    <col min="8193" max="8193" width="20.140625" style="37" customWidth="1"/>
    <col min="8194" max="8448" width="11.42578125" style="37"/>
    <col min="8449" max="8449" width="20.140625" style="37" customWidth="1"/>
    <col min="8450" max="8704" width="11.42578125" style="37"/>
    <col min="8705" max="8705" width="20.140625" style="37" customWidth="1"/>
    <col min="8706" max="8960" width="11.42578125" style="37"/>
    <col min="8961" max="8961" width="20.140625" style="37" customWidth="1"/>
    <col min="8962" max="9216" width="11.42578125" style="37"/>
    <col min="9217" max="9217" width="20.140625" style="37" customWidth="1"/>
    <col min="9218" max="9472" width="11.42578125" style="37"/>
    <col min="9473" max="9473" width="20.140625" style="37" customWidth="1"/>
    <col min="9474" max="9728" width="11.42578125" style="37"/>
    <col min="9729" max="9729" width="20.140625" style="37" customWidth="1"/>
    <col min="9730" max="9984" width="11.42578125" style="37"/>
    <col min="9985" max="9985" width="20.140625" style="37" customWidth="1"/>
    <col min="9986" max="10240" width="11.42578125" style="37"/>
    <col min="10241" max="10241" width="20.140625" style="37" customWidth="1"/>
    <col min="10242" max="10496" width="11.42578125" style="37"/>
    <col min="10497" max="10497" width="20.140625" style="37" customWidth="1"/>
    <col min="10498" max="10752" width="11.42578125" style="37"/>
    <col min="10753" max="10753" width="20.140625" style="37" customWidth="1"/>
    <col min="10754" max="11008" width="11.42578125" style="37"/>
    <col min="11009" max="11009" width="20.140625" style="37" customWidth="1"/>
    <col min="11010" max="11264" width="11.42578125" style="37"/>
    <col min="11265" max="11265" width="20.140625" style="37" customWidth="1"/>
    <col min="11266" max="11520" width="11.42578125" style="37"/>
    <col min="11521" max="11521" width="20.140625" style="37" customWidth="1"/>
    <col min="11522" max="11776" width="11.42578125" style="37"/>
    <col min="11777" max="11777" width="20.140625" style="37" customWidth="1"/>
    <col min="11778" max="12032" width="11.42578125" style="37"/>
    <col min="12033" max="12033" width="20.140625" style="37" customWidth="1"/>
    <col min="12034" max="12288" width="11.42578125" style="37"/>
    <col min="12289" max="12289" width="20.140625" style="37" customWidth="1"/>
    <col min="12290" max="12544" width="11.42578125" style="37"/>
    <col min="12545" max="12545" width="20.140625" style="37" customWidth="1"/>
    <col min="12546" max="12800" width="11.42578125" style="37"/>
    <col min="12801" max="12801" width="20.140625" style="37" customWidth="1"/>
    <col min="12802" max="13056" width="11.42578125" style="37"/>
    <col min="13057" max="13057" width="20.140625" style="37" customWidth="1"/>
    <col min="13058" max="13312" width="11.42578125" style="37"/>
    <col min="13313" max="13313" width="20.140625" style="37" customWidth="1"/>
    <col min="13314" max="13568" width="11.42578125" style="37"/>
    <col min="13569" max="13569" width="20.140625" style="37" customWidth="1"/>
    <col min="13570" max="13824" width="11.42578125" style="37"/>
    <col min="13825" max="13825" width="20.140625" style="37" customWidth="1"/>
    <col min="13826" max="14080" width="11.42578125" style="37"/>
    <col min="14081" max="14081" width="20.140625" style="37" customWidth="1"/>
    <col min="14082" max="14336" width="11.42578125" style="37"/>
    <col min="14337" max="14337" width="20.140625" style="37" customWidth="1"/>
    <col min="14338" max="14592" width="11.42578125" style="37"/>
    <col min="14593" max="14593" width="20.140625" style="37" customWidth="1"/>
    <col min="14594" max="14848" width="11.42578125" style="37"/>
    <col min="14849" max="14849" width="20.140625" style="37" customWidth="1"/>
    <col min="14850" max="15104" width="11.42578125" style="37"/>
    <col min="15105" max="15105" width="20.140625" style="37" customWidth="1"/>
    <col min="15106" max="15360" width="11.42578125" style="37"/>
    <col min="15361" max="15361" width="20.140625" style="37" customWidth="1"/>
    <col min="15362" max="15616" width="11.42578125" style="37"/>
    <col min="15617" max="15617" width="20.140625" style="37" customWidth="1"/>
    <col min="15618" max="15872" width="11.42578125" style="37"/>
    <col min="15873" max="15873" width="20.140625" style="37" customWidth="1"/>
    <col min="15874" max="16128" width="11.42578125" style="37"/>
    <col min="16129" max="16129" width="20.140625" style="37" customWidth="1"/>
    <col min="16130" max="16384" width="11.42578125" style="37"/>
  </cols>
  <sheetData>
    <row r="1" spans="1:15" x14ac:dyDescent="0.2">
      <c r="A1" s="50" t="s">
        <v>63</v>
      </c>
      <c r="B1" s="52" t="s">
        <v>62</v>
      </c>
      <c r="C1" s="52" t="s">
        <v>61</v>
      </c>
      <c r="D1" s="52" t="s">
        <v>46</v>
      </c>
    </row>
    <row r="2" spans="1:15" ht="15" x14ac:dyDescent="0.25">
      <c r="B2" s="56">
        <v>0.2</v>
      </c>
      <c r="C2" s="55">
        <v>0.25</v>
      </c>
      <c r="D2" s="53">
        <v>14000</v>
      </c>
      <c r="K2" s="38"/>
      <c r="L2" s="38"/>
      <c r="M2" s="38"/>
      <c r="N2" s="38"/>
      <c r="O2" s="38"/>
    </row>
    <row r="3" spans="1:15" ht="15.75" x14ac:dyDescent="0.25">
      <c r="A3" s="54"/>
      <c r="C3" s="38"/>
      <c r="D3" s="38"/>
      <c r="E3" s="38"/>
      <c r="F3" s="38"/>
      <c r="G3" s="38"/>
      <c r="H3" s="38"/>
      <c r="K3" s="38"/>
      <c r="L3" s="38"/>
      <c r="M3" s="38"/>
      <c r="N3" s="38"/>
      <c r="O3" s="38"/>
    </row>
    <row r="4" spans="1:15" x14ac:dyDescent="0.2">
      <c r="B4" s="53">
        <v>0</v>
      </c>
      <c r="C4" s="53">
        <v>1</v>
      </c>
      <c r="D4" s="53">
        <v>2</v>
      </c>
      <c r="E4" s="53">
        <v>3</v>
      </c>
      <c r="F4" s="53">
        <v>4</v>
      </c>
      <c r="G4" s="53">
        <v>5</v>
      </c>
      <c r="H4" s="53">
        <v>6</v>
      </c>
      <c r="I4" s="52">
        <v>7</v>
      </c>
      <c r="K4" s="38"/>
      <c r="L4" s="38"/>
      <c r="M4" s="38"/>
      <c r="N4" s="38"/>
      <c r="O4" s="38"/>
    </row>
    <row r="5" spans="1:15" x14ac:dyDescent="0.2">
      <c r="A5" s="46" t="s">
        <v>60</v>
      </c>
      <c r="B5" s="47"/>
      <c r="C5" s="47">
        <v>7000</v>
      </c>
      <c r="D5" s="47">
        <v>9000</v>
      </c>
      <c r="E5" s="47">
        <v>8000</v>
      </c>
      <c r="F5" s="47">
        <v>9500</v>
      </c>
      <c r="G5" s="47">
        <v>9500</v>
      </c>
      <c r="H5" s="47">
        <v>8000</v>
      </c>
      <c r="I5" s="47">
        <v>5000</v>
      </c>
      <c r="J5" s="38"/>
      <c r="K5" s="38"/>
      <c r="L5" s="38"/>
      <c r="M5" s="38"/>
      <c r="N5" s="38"/>
      <c r="O5" s="38"/>
    </row>
    <row r="6" spans="1:15" x14ac:dyDescent="0.2">
      <c r="A6" s="46" t="s">
        <v>59</v>
      </c>
      <c r="B6" s="47"/>
      <c r="C6" s="47">
        <v>-3500</v>
      </c>
      <c r="D6" s="47">
        <v>-6000</v>
      </c>
      <c r="E6" s="47">
        <v>-5500</v>
      </c>
      <c r="F6" s="47">
        <v>-6500</v>
      </c>
      <c r="G6" s="47">
        <v>-6000</v>
      </c>
      <c r="H6" s="47">
        <v>-4000</v>
      </c>
      <c r="I6" s="47">
        <v>-2000</v>
      </c>
      <c r="J6" s="47"/>
      <c r="K6" s="38"/>
      <c r="L6" s="38"/>
      <c r="M6" s="38"/>
      <c r="N6" s="38"/>
      <c r="O6" s="38"/>
    </row>
    <row r="7" spans="1:15" x14ac:dyDescent="0.2">
      <c r="A7" s="40"/>
      <c r="B7" s="47"/>
      <c r="C7" s="47"/>
      <c r="D7" s="47"/>
      <c r="E7" s="47"/>
      <c r="F7" s="47"/>
      <c r="G7" s="47"/>
      <c r="H7" s="47"/>
      <c r="I7" s="47"/>
      <c r="J7" s="47"/>
      <c r="K7" s="38"/>
      <c r="L7" s="38"/>
      <c r="M7" s="38"/>
      <c r="N7" s="38"/>
      <c r="O7" s="38"/>
    </row>
    <row r="8" spans="1:15" x14ac:dyDescent="0.2">
      <c r="A8" s="46" t="s">
        <v>58</v>
      </c>
      <c r="B8" s="47"/>
      <c r="C8" s="47">
        <v>14000</v>
      </c>
      <c r="D8" s="47">
        <f t="shared" ref="D8:J8" si="0">C10</f>
        <v>11200</v>
      </c>
      <c r="E8" s="47">
        <f t="shared" si="0"/>
        <v>8960</v>
      </c>
      <c r="F8" s="47">
        <f t="shared" si="0"/>
        <v>7168</v>
      </c>
      <c r="G8" s="47">
        <f t="shared" si="0"/>
        <v>5734.4</v>
      </c>
      <c r="H8" s="47">
        <f t="shared" si="0"/>
        <v>4587.5199999999995</v>
      </c>
      <c r="I8" s="47">
        <f t="shared" si="0"/>
        <v>3670.0159999999996</v>
      </c>
      <c r="J8" s="51">
        <f t="shared" si="0"/>
        <v>2936.0127999999995</v>
      </c>
      <c r="K8" s="38"/>
      <c r="L8" s="38"/>
      <c r="M8" s="38"/>
      <c r="N8" s="38"/>
      <c r="O8" s="38"/>
    </row>
    <row r="9" spans="1:15" x14ac:dyDescent="0.2">
      <c r="A9" s="46" t="s">
        <v>57</v>
      </c>
      <c r="B9" s="47"/>
      <c r="C9" s="47">
        <f t="shared" ref="C9:J9" si="1">-$B$2*C8</f>
        <v>-2800</v>
      </c>
      <c r="D9" s="47">
        <f t="shared" si="1"/>
        <v>-2240</v>
      </c>
      <c r="E9" s="47">
        <f t="shared" si="1"/>
        <v>-1792</v>
      </c>
      <c r="F9" s="47">
        <f t="shared" si="1"/>
        <v>-1433.6000000000001</v>
      </c>
      <c r="G9" s="47">
        <f t="shared" si="1"/>
        <v>-1146.8799999999999</v>
      </c>
      <c r="H9" s="47">
        <f t="shared" si="1"/>
        <v>-917.50399999999991</v>
      </c>
      <c r="I9" s="47">
        <f t="shared" si="1"/>
        <v>-734.00319999999999</v>
      </c>
      <c r="J9" s="47">
        <f t="shared" si="1"/>
        <v>-587.20255999999995</v>
      </c>
      <c r="K9" s="38"/>
      <c r="L9" s="38"/>
      <c r="M9" s="38"/>
      <c r="N9" s="38"/>
      <c r="O9" s="38"/>
    </row>
    <row r="10" spans="1:15" x14ac:dyDescent="0.2">
      <c r="A10" s="46" t="s">
        <v>56</v>
      </c>
      <c r="B10" s="47"/>
      <c r="C10" s="47">
        <f t="shared" ref="C10:I10" si="2">SUM(C8:C9)</f>
        <v>11200</v>
      </c>
      <c r="D10" s="47">
        <f t="shared" si="2"/>
        <v>8960</v>
      </c>
      <c r="E10" s="47">
        <f t="shared" si="2"/>
        <v>7168</v>
      </c>
      <c r="F10" s="47">
        <f t="shared" si="2"/>
        <v>5734.4</v>
      </c>
      <c r="G10" s="47">
        <f t="shared" si="2"/>
        <v>4587.5199999999995</v>
      </c>
      <c r="H10" s="47">
        <f t="shared" si="2"/>
        <v>3670.0159999999996</v>
      </c>
      <c r="I10" s="47">
        <f t="shared" si="2"/>
        <v>2936.0127999999995</v>
      </c>
      <c r="J10" s="47"/>
      <c r="K10" s="38"/>
      <c r="L10" s="38"/>
      <c r="M10" s="38"/>
      <c r="N10" s="38"/>
      <c r="O10" s="38"/>
    </row>
    <row r="11" spans="1:15" x14ac:dyDescent="0.2">
      <c r="A11" s="40"/>
      <c r="B11" s="47"/>
      <c r="C11" s="47"/>
      <c r="D11" s="47"/>
      <c r="E11" s="47"/>
      <c r="F11" s="47"/>
      <c r="G11" s="47"/>
      <c r="H11" s="47"/>
      <c r="I11" s="47"/>
      <c r="J11" s="47"/>
      <c r="K11" s="38"/>
      <c r="L11" s="38"/>
      <c r="M11" s="38"/>
      <c r="N11" s="38"/>
      <c r="O11" s="38"/>
    </row>
    <row r="12" spans="1:15" x14ac:dyDescent="0.2">
      <c r="A12" s="46" t="s">
        <v>55</v>
      </c>
      <c r="B12" s="47"/>
      <c r="C12" s="47">
        <f t="shared" ref="C12:I12" si="3">C5+C6+C9</f>
        <v>700</v>
      </c>
      <c r="D12" s="47">
        <f t="shared" si="3"/>
        <v>760</v>
      </c>
      <c r="E12" s="47">
        <f t="shared" si="3"/>
        <v>708</v>
      </c>
      <c r="F12" s="47">
        <f t="shared" si="3"/>
        <v>1566.3999999999999</v>
      </c>
      <c r="G12" s="47">
        <f t="shared" si="3"/>
        <v>2353.12</v>
      </c>
      <c r="H12" s="47">
        <f t="shared" si="3"/>
        <v>3082.4960000000001</v>
      </c>
      <c r="I12" s="47">
        <f t="shared" si="3"/>
        <v>2265.9967999999999</v>
      </c>
      <c r="J12" s="38"/>
      <c r="K12" s="38"/>
      <c r="L12" s="38"/>
      <c r="M12" s="38"/>
      <c r="N12" s="38"/>
      <c r="O12" s="38"/>
    </row>
    <row r="13" spans="1:15" x14ac:dyDescent="0.2">
      <c r="A13" s="46" t="s">
        <v>54</v>
      </c>
      <c r="B13" s="47"/>
      <c r="C13" s="47">
        <f t="shared" ref="C13:I13" si="4">-$C$2*C12</f>
        <v>-175</v>
      </c>
      <c r="D13" s="47">
        <f t="shared" si="4"/>
        <v>-190</v>
      </c>
      <c r="E13" s="47">
        <f t="shared" si="4"/>
        <v>-177</v>
      </c>
      <c r="F13" s="47">
        <f t="shared" si="4"/>
        <v>-391.59999999999997</v>
      </c>
      <c r="G13" s="47">
        <f t="shared" si="4"/>
        <v>-588.28</v>
      </c>
      <c r="H13" s="47">
        <f t="shared" si="4"/>
        <v>-770.62400000000002</v>
      </c>
      <c r="I13" s="47">
        <f t="shared" si="4"/>
        <v>-566.49919999999997</v>
      </c>
      <c r="J13" s="38"/>
      <c r="K13" s="38"/>
      <c r="L13" s="38"/>
      <c r="M13" s="38"/>
      <c r="N13" s="38"/>
      <c r="O13" s="38"/>
    </row>
    <row r="14" spans="1:15" x14ac:dyDescent="0.2">
      <c r="A14" s="40"/>
      <c r="B14" s="47"/>
      <c r="C14" s="47"/>
      <c r="D14" s="47"/>
      <c r="E14" s="47"/>
      <c r="F14" s="47"/>
      <c r="G14" s="47"/>
      <c r="H14" s="47"/>
      <c r="I14" s="47"/>
      <c r="J14" s="50" t="s">
        <v>53</v>
      </c>
      <c r="K14" s="38"/>
      <c r="L14" s="38"/>
      <c r="M14" s="38"/>
      <c r="N14" s="38"/>
      <c r="O14" s="38"/>
    </row>
    <row r="15" spans="1:15" x14ac:dyDescent="0.2">
      <c r="A15" s="46" t="s">
        <v>52</v>
      </c>
      <c r="B15" s="47">
        <f>-D2</f>
        <v>-14000</v>
      </c>
      <c r="C15" s="47">
        <f t="shared" ref="C15:I15" si="5">C5+C6+C13</f>
        <v>3325</v>
      </c>
      <c r="D15" s="47">
        <f t="shared" si="5"/>
        <v>2810</v>
      </c>
      <c r="E15" s="47">
        <f t="shared" si="5"/>
        <v>2323</v>
      </c>
      <c r="F15" s="47">
        <f t="shared" si="5"/>
        <v>2608.4</v>
      </c>
      <c r="G15" s="47">
        <f t="shared" si="5"/>
        <v>2911.7200000000003</v>
      </c>
      <c r="H15" s="47">
        <f t="shared" si="5"/>
        <v>3229.3760000000002</v>
      </c>
      <c r="I15" s="47">
        <f t="shared" si="5"/>
        <v>2433.5007999999998</v>
      </c>
      <c r="J15" s="50" t="s">
        <v>51</v>
      </c>
      <c r="K15" s="38"/>
      <c r="L15" s="38"/>
      <c r="M15" s="38"/>
      <c r="N15" s="38"/>
      <c r="O15" s="38"/>
    </row>
    <row r="16" spans="1:15" ht="15" x14ac:dyDescent="0.25">
      <c r="A16" s="46" t="s">
        <v>50</v>
      </c>
      <c r="B16" s="49">
        <f>B15/(1+$D$14)^B4</f>
        <v>-14000</v>
      </c>
      <c r="C16" s="49">
        <f t="shared" ref="C16:I16" si="6">C15/(1+$B$19)^C4</f>
        <v>3078.7037037037035</v>
      </c>
      <c r="D16" s="49">
        <f t="shared" si="6"/>
        <v>2409.1220850480108</v>
      </c>
      <c r="E16" s="49">
        <f t="shared" si="6"/>
        <v>1844.0722958898539</v>
      </c>
      <c r="F16" s="49">
        <f t="shared" si="6"/>
        <v>1917.2518680342687</v>
      </c>
      <c r="G16" s="49">
        <f t="shared" si="6"/>
        <v>1981.6677064671194</v>
      </c>
      <c r="H16" s="49">
        <f t="shared" si="6"/>
        <v>2035.0546689852529</v>
      </c>
      <c r="I16" s="49">
        <f t="shared" si="6"/>
        <v>1419.9243436627187</v>
      </c>
      <c r="J16" s="48">
        <f>-J9*$C$2/((1+$B$19)^I4*($B$19+$B$2))</f>
        <v>305.91701235119359</v>
      </c>
      <c r="K16" s="38"/>
      <c r="L16" s="38"/>
      <c r="M16" s="38"/>
      <c r="N16" s="38"/>
      <c r="O16" s="38"/>
    </row>
    <row r="17" spans="1:15" x14ac:dyDescent="0.2">
      <c r="B17" s="47"/>
      <c r="C17" s="47"/>
      <c r="D17" s="47"/>
      <c r="E17" s="63" t="s">
        <v>69</v>
      </c>
      <c r="F17" s="47"/>
      <c r="G17" s="47"/>
      <c r="H17" s="47"/>
      <c r="I17" s="47"/>
      <c r="J17" s="64" t="s">
        <v>70</v>
      </c>
      <c r="K17" s="38"/>
      <c r="L17" s="38"/>
      <c r="M17" s="38"/>
      <c r="N17" s="38"/>
      <c r="O17" s="38"/>
    </row>
    <row r="18" spans="1:15" x14ac:dyDescent="0.2">
      <c r="A18" s="61" t="s">
        <v>49</v>
      </c>
      <c r="B18" s="62">
        <f>SUM(B16:J16)</f>
        <v>991.71368414212247</v>
      </c>
      <c r="C18" s="63" t="s">
        <v>68</v>
      </c>
      <c r="D18" s="47"/>
      <c r="E18" s="47"/>
      <c r="F18" s="47"/>
      <c r="G18" s="47"/>
      <c r="H18" s="47"/>
      <c r="I18" s="47"/>
      <c r="J18" s="38"/>
      <c r="K18" s="38"/>
      <c r="L18" s="38"/>
      <c r="M18" s="38"/>
      <c r="N18" s="38"/>
      <c r="O18" s="38"/>
    </row>
    <row r="19" spans="1:15" x14ac:dyDescent="0.2">
      <c r="A19" s="46" t="s">
        <v>48</v>
      </c>
      <c r="B19" s="39">
        <v>0.08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45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x14ac:dyDescent="0.2">
      <c r="A26" s="44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x14ac:dyDescent="0.2">
      <c r="A27" s="40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x14ac:dyDescent="0.2">
      <c r="A28" s="40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43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ht="15.75" x14ac:dyDescent="0.25">
      <c r="A33" s="42"/>
      <c r="B33" s="41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40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40"/>
      <c r="B35" s="39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zoomScale="115" workbookViewId="0"/>
  </sheetViews>
  <sheetFormatPr baseColWidth="10" defaultRowHeight="12.75" x14ac:dyDescent="0.2"/>
  <cols>
    <col min="1" max="1" width="14.140625" style="26" customWidth="1"/>
    <col min="2" max="4" width="12.7109375" style="26" customWidth="1"/>
    <col min="5" max="16384" width="11.42578125" style="26"/>
  </cols>
  <sheetData>
    <row r="2" spans="1:4" x14ac:dyDescent="0.2">
      <c r="A2" s="26" t="s">
        <v>44</v>
      </c>
      <c r="B2" s="28">
        <v>0</v>
      </c>
      <c r="C2" s="28">
        <v>1</v>
      </c>
      <c r="D2" s="28">
        <v>2</v>
      </c>
    </row>
    <row r="3" spans="1:4" x14ac:dyDescent="0.2">
      <c r="A3" s="26" t="s">
        <v>47</v>
      </c>
      <c r="B3" s="31">
        <v>-50000000</v>
      </c>
      <c r="C3" s="31">
        <v>110000000</v>
      </c>
      <c r="D3" s="31">
        <v>-60480000</v>
      </c>
    </row>
    <row r="4" spans="1:4" x14ac:dyDescent="0.2">
      <c r="B4" s="28"/>
      <c r="C4" s="28"/>
      <c r="D4" s="28"/>
    </row>
    <row r="5" spans="1:4" x14ac:dyDescent="0.2">
      <c r="A5" s="35" t="s">
        <v>71</v>
      </c>
      <c r="B5" s="36"/>
      <c r="C5" s="28"/>
      <c r="D5" s="28"/>
    </row>
    <row r="6" spans="1:4" x14ac:dyDescent="0.2">
      <c r="A6" s="35" t="s">
        <v>71</v>
      </c>
      <c r="B6" s="34"/>
      <c r="C6" s="28"/>
      <c r="D6" s="28"/>
    </row>
    <row r="7" spans="1:4" x14ac:dyDescent="0.2">
      <c r="B7" s="28"/>
      <c r="C7" s="28"/>
      <c r="D7" s="28"/>
    </row>
    <row r="8" spans="1:4" x14ac:dyDescent="0.2">
      <c r="A8" s="27"/>
      <c r="B8" s="27"/>
      <c r="C8" s="28"/>
      <c r="D8" s="28"/>
    </row>
    <row r="9" spans="1:4" ht="15" x14ac:dyDescent="0.25">
      <c r="A9" s="32"/>
      <c r="B9" s="30"/>
      <c r="C9" s="28"/>
      <c r="D9" s="28"/>
    </row>
    <row r="10" spans="1:4" ht="15" x14ac:dyDescent="0.25">
      <c r="A10" s="32"/>
      <c r="B10" s="30"/>
      <c r="C10" s="28"/>
      <c r="D10" s="28"/>
    </row>
    <row r="11" spans="1:4" ht="15" x14ac:dyDescent="0.25">
      <c r="A11" s="32"/>
      <c r="B11" s="30"/>
    </row>
    <row r="12" spans="1:4" ht="15" x14ac:dyDescent="0.25">
      <c r="A12" s="32"/>
      <c r="B12" s="30"/>
    </row>
    <row r="13" spans="1:4" ht="15" x14ac:dyDescent="0.25">
      <c r="A13" s="32"/>
      <c r="B13" s="30"/>
    </row>
    <row r="14" spans="1:4" ht="15" x14ac:dyDescent="0.25">
      <c r="A14" s="32"/>
      <c r="B14" s="30"/>
    </row>
    <row r="15" spans="1:4" ht="15" x14ac:dyDescent="0.25">
      <c r="A15" s="32"/>
      <c r="B15" s="30"/>
    </row>
    <row r="16" spans="1:4" ht="15" x14ac:dyDescent="0.25">
      <c r="A16" s="32"/>
      <c r="B16" s="30"/>
    </row>
    <row r="17" spans="1:2" ht="15" x14ac:dyDescent="0.25">
      <c r="A17" s="32"/>
      <c r="B17" s="30"/>
    </row>
    <row r="18" spans="1:2" ht="15" x14ac:dyDescent="0.25">
      <c r="A18" s="32"/>
      <c r="B18" s="28"/>
    </row>
    <row r="19" spans="1:2" x14ac:dyDescent="0.2">
      <c r="A19" s="28"/>
      <c r="B19" s="28"/>
    </row>
    <row r="20" spans="1:2" x14ac:dyDescent="0.2">
      <c r="A20" s="28"/>
      <c r="B20" s="28"/>
    </row>
    <row r="21" spans="1:2" x14ac:dyDescent="0.2">
      <c r="A21" s="28"/>
      <c r="B21" s="28"/>
    </row>
    <row r="22" spans="1:2" x14ac:dyDescent="0.2">
      <c r="A22" s="28"/>
      <c r="B22" s="28"/>
    </row>
    <row r="23" spans="1:2" x14ac:dyDescent="0.2">
      <c r="A23" s="28"/>
      <c r="B23" s="28"/>
    </row>
    <row r="24" spans="1:2" x14ac:dyDescent="0.2">
      <c r="A24" s="28"/>
      <c r="B24" s="28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zoomScale="115" workbookViewId="0">
      <selection activeCell="A4" sqref="A4"/>
    </sheetView>
  </sheetViews>
  <sheetFormatPr baseColWidth="10" defaultRowHeight="12.75" x14ac:dyDescent="0.2"/>
  <cols>
    <col min="1" max="1" width="14.140625" style="26" customWidth="1"/>
    <col min="2" max="4" width="12.7109375" style="26" customWidth="1"/>
    <col min="5" max="16384" width="11.42578125" style="26"/>
  </cols>
  <sheetData>
    <row r="2" spans="1:4" x14ac:dyDescent="0.2">
      <c r="A2" s="26" t="s">
        <v>44</v>
      </c>
      <c r="B2" s="66">
        <v>0</v>
      </c>
      <c r="C2" s="66">
        <v>1</v>
      </c>
      <c r="D2" s="66">
        <v>2</v>
      </c>
    </row>
    <row r="3" spans="1:4" x14ac:dyDescent="0.2">
      <c r="A3" s="26" t="s">
        <v>47</v>
      </c>
      <c r="B3" s="31">
        <v>-50000000</v>
      </c>
      <c r="C3" s="31">
        <v>110000000</v>
      </c>
      <c r="D3" s="31">
        <v>-60480000</v>
      </c>
    </row>
    <row r="4" spans="1:4" x14ac:dyDescent="0.2">
      <c r="B4" s="66"/>
      <c r="C4" s="66"/>
      <c r="D4" s="66"/>
    </row>
    <row r="5" spans="1:4" x14ac:dyDescent="0.2">
      <c r="A5" s="35" t="s">
        <v>71</v>
      </c>
      <c r="B5" s="36">
        <f>IRR($B$3:$D$3,0.01)</f>
        <v>7.9999999999998295E-2</v>
      </c>
      <c r="C5" s="66"/>
      <c r="D5" s="66"/>
    </row>
    <row r="6" spans="1:4" x14ac:dyDescent="0.2">
      <c r="A6" s="35" t="s">
        <v>71</v>
      </c>
      <c r="B6" s="34">
        <f>IRR($B$3:$D$3,1)</f>
        <v>0.11999999999999833</v>
      </c>
      <c r="C6" s="66"/>
      <c r="D6" s="66"/>
    </row>
    <row r="7" spans="1:4" x14ac:dyDescent="0.2">
      <c r="B7" s="66"/>
      <c r="C7" s="66"/>
      <c r="D7" s="66"/>
    </row>
    <row r="8" spans="1:4" x14ac:dyDescent="0.2">
      <c r="A8" s="27" t="s">
        <v>43</v>
      </c>
      <c r="B8" s="27" t="s">
        <v>45</v>
      </c>
      <c r="C8" s="66"/>
      <c r="D8" s="66"/>
    </row>
    <row r="9" spans="1:4" ht="15" x14ac:dyDescent="0.25">
      <c r="A9" s="32">
        <v>0</v>
      </c>
      <c r="B9" s="65">
        <f t="shared" ref="B9:B17" si="0">$B$3+NPV(A9,$C$3:$D$3)</f>
        <v>-480000</v>
      </c>
      <c r="C9" s="66"/>
      <c r="D9" s="66"/>
    </row>
    <row r="10" spans="1:4" ht="15" x14ac:dyDescent="0.25">
      <c r="A10" s="32">
        <v>0.02</v>
      </c>
      <c r="B10" s="65">
        <f t="shared" si="0"/>
        <v>-288350.63437139243</v>
      </c>
      <c r="C10" s="66"/>
      <c r="D10" s="66"/>
    </row>
    <row r="11" spans="1:4" ht="15" x14ac:dyDescent="0.25">
      <c r="A11" s="32">
        <v>0.04</v>
      </c>
      <c r="B11" s="65">
        <f t="shared" si="0"/>
        <v>-147928.9940828383</v>
      </c>
    </row>
    <row r="12" spans="1:4" ht="15" x14ac:dyDescent="0.25">
      <c r="A12" s="32">
        <v>0.06</v>
      </c>
      <c r="B12" s="65">
        <f t="shared" si="0"/>
        <v>-53399.786400854588</v>
      </c>
    </row>
    <row r="13" spans="1:4" ht="15" x14ac:dyDescent="0.25">
      <c r="A13" s="32">
        <v>0.08</v>
      </c>
      <c r="B13" s="65">
        <f t="shared" si="0"/>
        <v>0</v>
      </c>
    </row>
    <row r="14" spans="1:4" ht="15" x14ac:dyDescent="0.25">
      <c r="A14" s="32">
        <v>0.1</v>
      </c>
      <c r="B14" s="65">
        <f t="shared" si="0"/>
        <v>16528.925619833171</v>
      </c>
    </row>
    <row r="15" spans="1:4" ht="15" x14ac:dyDescent="0.25">
      <c r="A15" s="32">
        <v>0.12</v>
      </c>
      <c r="B15" s="65">
        <f t="shared" si="0"/>
        <v>0</v>
      </c>
    </row>
    <row r="16" spans="1:4" ht="15" x14ac:dyDescent="0.25">
      <c r="A16" s="32">
        <v>0.14000000000000001</v>
      </c>
      <c r="B16" s="65">
        <f t="shared" si="0"/>
        <v>-46168.051708221436</v>
      </c>
    </row>
    <row r="17" spans="1:2" ht="15" x14ac:dyDescent="0.25">
      <c r="A17" s="32">
        <v>0.16</v>
      </c>
      <c r="B17" s="65">
        <f t="shared" si="0"/>
        <v>-118906.06420927495</v>
      </c>
    </row>
    <row r="18" spans="1:2" ht="15" x14ac:dyDescent="0.25">
      <c r="A18" s="32"/>
      <c r="B18" s="66"/>
    </row>
    <row r="19" spans="1:2" x14ac:dyDescent="0.2">
      <c r="A19" s="66"/>
      <c r="B19" s="66"/>
    </row>
    <row r="20" spans="1:2" x14ac:dyDescent="0.2">
      <c r="A20" s="66"/>
      <c r="B20" s="66"/>
    </row>
    <row r="21" spans="1:2" x14ac:dyDescent="0.2">
      <c r="A21" s="66"/>
      <c r="B21" s="66"/>
    </row>
    <row r="22" spans="1:2" x14ac:dyDescent="0.2">
      <c r="A22" s="66"/>
      <c r="B22" s="66"/>
    </row>
    <row r="23" spans="1:2" x14ac:dyDescent="0.2">
      <c r="A23" s="66"/>
      <c r="B23" s="66"/>
    </row>
    <row r="24" spans="1:2" x14ac:dyDescent="0.2">
      <c r="A24" s="66"/>
      <c r="B24" s="66"/>
    </row>
  </sheetData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zoomScale="115" zoomScaleNormal="115" workbookViewId="0">
      <selection activeCell="F5" sqref="F5"/>
    </sheetView>
  </sheetViews>
  <sheetFormatPr baseColWidth="10" defaultRowHeight="15" x14ac:dyDescent="0.25"/>
  <cols>
    <col min="1" max="1" width="23.42578125" customWidth="1"/>
    <col min="2" max="3" width="11.85546875" customWidth="1"/>
    <col min="5" max="5" width="12.28515625" bestFit="1" customWidth="1"/>
  </cols>
  <sheetData>
    <row r="2" spans="1:6" x14ac:dyDescent="0.25">
      <c r="A2" t="s">
        <v>4</v>
      </c>
      <c r="B2" s="3">
        <v>3000000</v>
      </c>
      <c r="C2" s="3"/>
    </row>
    <row r="3" spans="1:6" x14ac:dyDescent="0.25">
      <c r="A3" t="s">
        <v>0</v>
      </c>
      <c r="B3" s="4">
        <v>0.03</v>
      </c>
      <c r="C3" s="4"/>
      <c r="F3">
        <f>1.00814^4</f>
        <v>1.0329597194029108</v>
      </c>
    </row>
    <row r="4" spans="1:6" x14ac:dyDescent="0.25">
      <c r="A4" t="s">
        <v>1</v>
      </c>
      <c r="B4">
        <v>20</v>
      </c>
      <c r="F4">
        <f>F3-1</f>
        <v>3.2959719402910759E-2</v>
      </c>
    </row>
    <row r="5" spans="1:6" x14ac:dyDescent="0.25">
      <c r="A5" t="s">
        <v>5</v>
      </c>
      <c r="B5">
        <v>12</v>
      </c>
    </row>
    <row r="6" spans="1:6" x14ac:dyDescent="0.25">
      <c r="A6" t="s">
        <v>2</v>
      </c>
      <c r="B6" s="3">
        <v>20000</v>
      </c>
      <c r="C6" s="3"/>
      <c r="E6" s="8"/>
    </row>
    <row r="8" spans="1:6" x14ac:dyDescent="0.25">
      <c r="A8" t="s">
        <v>3</v>
      </c>
      <c r="B8" s="7">
        <f>B3/B5</f>
        <v>2.5000000000000001E-3</v>
      </c>
      <c r="C8" s="7"/>
    </row>
    <row r="9" spans="1:6" x14ac:dyDescent="0.25">
      <c r="A9" t="s">
        <v>6</v>
      </c>
      <c r="B9">
        <f>B4*B5</f>
        <v>240</v>
      </c>
    </row>
    <row r="11" spans="1:6" x14ac:dyDescent="0.25">
      <c r="A11" t="s">
        <v>2</v>
      </c>
      <c r="B11" s="1">
        <f>-PMT(B8,B9,B2)</f>
        <v>16637.927935617361</v>
      </c>
      <c r="C11" s="1"/>
    </row>
    <row r="12" spans="1:6" x14ac:dyDescent="0.25">
      <c r="A12" t="s">
        <v>1</v>
      </c>
      <c r="B12" s="11">
        <f>NPER(B8,-B6,B2)/B5</f>
        <v>15.68636297647514</v>
      </c>
      <c r="C12" s="11"/>
      <c r="F12" s="9"/>
    </row>
    <row r="13" spans="1:6" x14ac:dyDescent="0.25">
      <c r="A13" t="s">
        <v>0</v>
      </c>
      <c r="B13" s="6">
        <f>RATE(B9,-B6,B2)*B5</f>
        <v>5.1211503409285208E-2</v>
      </c>
      <c r="C13" s="6"/>
    </row>
    <row r="14" spans="1:6" x14ac:dyDescent="0.25">
      <c r="A14" t="s">
        <v>4</v>
      </c>
      <c r="B14" s="1">
        <f>-PV(B8,B9,B6)</f>
        <v>3606218.2882494191</v>
      </c>
      <c r="C1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6"/>
  <sheetViews>
    <sheetView zoomScale="130" zoomScaleNormal="130" workbookViewId="0">
      <selection activeCell="B21" sqref="B21"/>
    </sheetView>
  </sheetViews>
  <sheetFormatPr baseColWidth="10" defaultRowHeight="15" x14ac:dyDescent="0.25"/>
  <cols>
    <col min="1" max="1" width="20.5703125" customWidth="1"/>
    <col min="2" max="2" width="10" customWidth="1"/>
    <col min="3" max="3" width="8.140625" customWidth="1"/>
  </cols>
  <sheetData>
    <row r="1" spans="1:50" x14ac:dyDescent="0.25">
      <c r="A1" s="19"/>
      <c r="C1" s="18"/>
    </row>
    <row r="2" spans="1:50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</row>
    <row r="3" spans="1:50" x14ac:dyDescent="0.25">
      <c r="A3" t="s">
        <v>4</v>
      </c>
      <c r="B3" s="17">
        <v>1000000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</row>
    <row r="4" spans="1:50" x14ac:dyDescent="0.25">
      <c r="A4" t="s">
        <v>1</v>
      </c>
      <c r="B4" s="17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x14ac:dyDescent="0.25">
      <c r="A5" t="s">
        <v>5</v>
      </c>
      <c r="B5" s="17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x14ac:dyDescent="0.25">
      <c r="A6" t="s">
        <v>17</v>
      </c>
      <c r="B6" s="20">
        <v>0.03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x14ac:dyDescent="0.25">
      <c r="A7" t="s">
        <v>18</v>
      </c>
      <c r="B7" s="17">
        <v>3500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x14ac:dyDescent="0.25">
      <c r="A8" t="s">
        <v>19</v>
      </c>
      <c r="B8" s="17">
        <v>50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 x14ac:dyDescent="0.25">
      <c r="A10" t="s">
        <v>6</v>
      </c>
      <c r="B10" s="3">
        <f>B4*B5</f>
        <v>12</v>
      </c>
      <c r="C10" s="3" t="s">
        <v>35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x14ac:dyDescent="0.25">
      <c r="A11" t="s">
        <v>20</v>
      </c>
      <c r="B11" s="23">
        <f>B6/B5</f>
        <v>7.4999999999999997E-3</v>
      </c>
      <c r="C11" s="3" t="s">
        <v>36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 x14ac:dyDescent="0.25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 x14ac:dyDescent="0.25">
      <c r="A14" s="3"/>
      <c r="B14" s="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x14ac:dyDescent="0.25">
      <c r="A16" s="3"/>
      <c r="B16" s="2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2:50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2:50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2:50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2:50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2:50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2:50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2:50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2:50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2:50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2:50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2:50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2:50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2:50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2:50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2:50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2:50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2:50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2:50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2:50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2:50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2:50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2:50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2:50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2:50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2:50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2:50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2:50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2:50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2:50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2:50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2:50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2:50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2:50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2:50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2:50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2:50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2:50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2:50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2:50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2:50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2:50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2:50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2:50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2:50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2:50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2:50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2:50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2:50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2:50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2"/>
  <sheetViews>
    <sheetView topLeftCell="I14" zoomScale="110" zoomScaleNormal="110" workbookViewId="0">
      <selection activeCell="S35" sqref="S35"/>
    </sheetView>
  </sheetViews>
  <sheetFormatPr baseColWidth="10" defaultRowHeight="15" x14ac:dyDescent="0.25"/>
  <cols>
    <col min="1" max="1" width="4.140625" customWidth="1"/>
    <col min="2" max="2" width="7.28515625" customWidth="1"/>
    <col min="3" max="3" width="10.7109375" customWidth="1"/>
    <col min="4" max="4" width="9" customWidth="1"/>
    <col min="5" max="5" width="8.85546875" customWidth="1"/>
    <col min="6" max="6" width="9.140625" customWidth="1"/>
    <col min="7" max="7" width="10" customWidth="1"/>
    <col min="8" max="8" width="8.5703125" customWidth="1"/>
    <col min="9" max="9" width="4.42578125" customWidth="1"/>
    <col min="10" max="10" width="6.85546875" customWidth="1"/>
    <col min="11" max="11" width="11.85546875" customWidth="1"/>
    <col min="12" max="12" width="9.5703125" customWidth="1"/>
    <col min="13" max="13" width="9.28515625" customWidth="1"/>
    <col min="14" max="14" width="10.7109375" customWidth="1"/>
  </cols>
  <sheetData>
    <row r="1" spans="1:63" x14ac:dyDescent="0.25">
      <c r="A1" s="19"/>
      <c r="C1" s="18"/>
    </row>
    <row r="2" spans="1:63" x14ac:dyDescent="0.25">
      <c r="B2" s="3"/>
      <c r="C2" s="3"/>
      <c r="D2" s="3" t="s">
        <v>29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x14ac:dyDescent="0.25">
      <c r="A3" t="s">
        <v>4</v>
      </c>
      <c r="B3" s="17">
        <v>1000000</v>
      </c>
      <c r="C3" s="3"/>
      <c r="D3" s="5">
        <f>EFFECT(B6,B5)</f>
        <v>3.0339190664062876E-2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x14ac:dyDescent="0.25">
      <c r="A4" t="s">
        <v>1</v>
      </c>
      <c r="B4" s="17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pans="1:63" x14ac:dyDescent="0.25">
      <c r="A5" t="s">
        <v>5</v>
      </c>
      <c r="B5" s="17">
        <v>4</v>
      </c>
      <c r="C5" s="3"/>
      <c r="D5" s="3" t="s">
        <v>30</v>
      </c>
      <c r="E5" s="3">
        <f>-PMT(B11,B10,B3+B7)+B8</f>
        <v>87807.556938616151</v>
      </c>
      <c r="F5" s="3" t="s">
        <v>33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pans="1:63" x14ac:dyDescent="0.25">
      <c r="A6" t="s">
        <v>17</v>
      </c>
      <c r="B6" s="20">
        <v>0.03</v>
      </c>
      <c r="C6" s="3"/>
      <c r="D6" t="s">
        <v>31</v>
      </c>
      <c r="E6" s="5">
        <f>RATE(B10,-E5,B3)</f>
        <v>8.1391649011982158E-3</v>
      </c>
      <c r="F6" s="3" t="s">
        <v>34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x14ac:dyDescent="0.25">
      <c r="A7" t="s">
        <v>18</v>
      </c>
      <c r="B7" s="17">
        <v>3500</v>
      </c>
      <c r="C7" s="3"/>
      <c r="D7" t="s">
        <v>32</v>
      </c>
      <c r="E7" s="5">
        <f>EFFECT(B5*E6,B5)</f>
        <v>3.2956296773703597E-2</v>
      </c>
      <c r="F7" s="3" t="s">
        <v>39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  <row r="8" spans="1:63" x14ac:dyDescent="0.25">
      <c r="A8" t="s">
        <v>19</v>
      </c>
      <c r="B8" s="17">
        <v>50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</row>
    <row r="9" spans="1:63" x14ac:dyDescent="0.25">
      <c r="B9" s="3"/>
      <c r="C9" s="3"/>
      <c r="D9" s="3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</row>
    <row r="10" spans="1:63" x14ac:dyDescent="0.25">
      <c r="A10" t="s">
        <v>6</v>
      </c>
      <c r="B10" s="3">
        <f>B4*B5</f>
        <v>12</v>
      </c>
      <c r="C10" s="3" t="s">
        <v>35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63" x14ac:dyDescent="0.25">
      <c r="A11" t="s">
        <v>20</v>
      </c>
      <c r="B11" s="23">
        <f>B6/B5</f>
        <v>7.4999999999999997E-3</v>
      </c>
      <c r="C11" s="3" t="s">
        <v>36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</row>
    <row r="12" spans="1:63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</row>
    <row r="13" spans="1:63" x14ac:dyDescent="0.25"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</row>
    <row r="14" spans="1:63" x14ac:dyDescent="0.25">
      <c r="A14" t="s">
        <v>37</v>
      </c>
      <c r="C14" s="3"/>
      <c r="D14" s="3"/>
      <c r="E14" s="3"/>
      <c r="F14" s="3"/>
      <c r="G14" s="3"/>
      <c r="H14" s="3"/>
      <c r="I14" t="s">
        <v>38</v>
      </c>
      <c r="K14" s="3"/>
      <c r="L14" s="3"/>
      <c r="M14" s="3"/>
      <c r="N14" s="3"/>
      <c r="O14" s="3" t="s">
        <v>21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</row>
    <row r="15" spans="1:63" x14ac:dyDescent="0.25">
      <c r="A15" s="3" t="s">
        <v>72</v>
      </c>
      <c r="B15" s="3" t="s">
        <v>73</v>
      </c>
      <c r="C15" s="21" t="s">
        <v>22</v>
      </c>
      <c r="D15" s="21" t="s">
        <v>23</v>
      </c>
      <c r="E15" s="21" t="s">
        <v>24</v>
      </c>
      <c r="F15" s="21" t="s">
        <v>25</v>
      </c>
      <c r="G15" s="21" t="s">
        <v>26</v>
      </c>
      <c r="H15" s="3"/>
      <c r="I15" s="3" t="s">
        <v>72</v>
      </c>
      <c r="J15" s="3" t="s">
        <v>73</v>
      </c>
      <c r="K15" s="21" t="s">
        <v>22</v>
      </c>
      <c r="L15" s="21" t="s">
        <v>24</v>
      </c>
      <c r="M15" s="21" t="s">
        <v>25</v>
      </c>
      <c r="N15" s="21" t="s">
        <v>26</v>
      </c>
      <c r="O15" s="3">
        <f>$B$3</f>
        <v>1000000</v>
      </c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</row>
    <row r="16" spans="1:63" x14ac:dyDescent="0.25">
      <c r="A16" s="3">
        <v>1</v>
      </c>
      <c r="B16" s="3">
        <v>1</v>
      </c>
      <c r="C16" s="3">
        <f>B3+B7</f>
        <v>1003500</v>
      </c>
      <c r="D16" s="22">
        <f>PMT($B$11,$B$10,-$C$16)</f>
        <v>87757.556938616151</v>
      </c>
      <c r="E16" s="3">
        <f>$B$11*C16</f>
        <v>7526.25</v>
      </c>
      <c r="F16" s="3">
        <f>D16-E16</f>
        <v>80231.306938616151</v>
      </c>
      <c r="G16" s="3">
        <f>C16-F16</f>
        <v>923268.69306138391</v>
      </c>
      <c r="H16" s="3"/>
      <c r="I16" s="3">
        <v>1</v>
      </c>
      <c r="J16" s="3">
        <v>1</v>
      </c>
      <c r="K16" s="3">
        <f>C16</f>
        <v>1003500</v>
      </c>
      <c r="L16" s="3">
        <f>$B$11*K16</f>
        <v>7526.25</v>
      </c>
      <c r="M16" s="3">
        <f>$K$16/$B$10</f>
        <v>83625</v>
      </c>
      <c r="N16" s="3">
        <f>K16-M16</f>
        <v>919875</v>
      </c>
      <c r="O16" s="3">
        <f>-L16-M16-$B$8</f>
        <v>-91201.25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</row>
    <row r="17" spans="1:63" x14ac:dyDescent="0.25">
      <c r="A17" s="3"/>
      <c r="B17" s="3">
        <v>2</v>
      </c>
      <c r="C17" s="3">
        <f>G16</f>
        <v>923268.69306138391</v>
      </c>
      <c r="D17" s="22">
        <f>PMT($B$11,$B$10,-$C$16)</f>
        <v>87757.556938616151</v>
      </c>
      <c r="E17" s="3">
        <f t="shared" ref="E17:E27" si="0">$B$11*C17</f>
        <v>6924.5151979603788</v>
      </c>
      <c r="F17" s="3">
        <f t="shared" ref="F17:F27" si="1">D17-E17</f>
        <v>80833.041740655768</v>
      </c>
      <c r="G17" s="3">
        <f t="shared" ref="G17:G27" si="2">C17-F17</f>
        <v>842435.65132072812</v>
      </c>
      <c r="H17" s="3"/>
      <c r="I17" s="3"/>
      <c r="J17" s="3">
        <v>2</v>
      </c>
      <c r="K17" s="3">
        <f>N16</f>
        <v>919875</v>
      </c>
      <c r="L17" s="3">
        <f t="shared" ref="L17:L27" si="3">$B$11*K17</f>
        <v>6899.0625</v>
      </c>
      <c r="M17" s="3">
        <f>$K$16/$B$10</f>
        <v>83625</v>
      </c>
      <c r="N17" s="3">
        <f t="shared" ref="N17:N27" si="4">K17-M17</f>
        <v>836250</v>
      </c>
      <c r="O17" s="3">
        <f t="shared" ref="O17:O27" si="5">-L17-M17-$B$8</f>
        <v>-90574.0625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</row>
    <row r="18" spans="1:63" x14ac:dyDescent="0.25">
      <c r="A18" s="3"/>
      <c r="B18" s="3">
        <v>3</v>
      </c>
      <c r="C18" s="3">
        <f t="shared" ref="C18:C27" si="6">G17</f>
        <v>842435.65132072812</v>
      </c>
      <c r="D18" s="22">
        <f>PMT($B$11,$B$10,-$C$16)</f>
        <v>87757.556938616151</v>
      </c>
      <c r="E18" s="3">
        <f t="shared" si="0"/>
        <v>6318.2673849054609</v>
      </c>
      <c r="F18" s="3">
        <f t="shared" si="1"/>
        <v>81439.289553710696</v>
      </c>
      <c r="G18" s="3">
        <f t="shared" si="2"/>
        <v>760996.3617670174</v>
      </c>
      <c r="H18" s="3"/>
      <c r="I18" s="3"/>
      <c r="J18" s="3">
        <v>3</v>
      </c>
      <c r="K18" s="3">
        <f t="shared" ref="K18:K27" si="7">N17</f>
        <v>836250</v>
      </c>
      <c r="L18" s="3">
        <f t="shared" si="3"/>
        <v>6271.875</v>
      </c>
      <c r="M18" s="3">
        <f>$K$16/$B$10</f>
        <v>83625</v>
      </c>
      <c r="N18" s="3">
        <f t="shared" si="4"/>
        <v>752625</v>
      </c>
      <c r="O18" s="3">
        <f t="shared" si="5"/>
        <v>-89946.875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</row>
    <row r="19" spans="1:63" x14ac:dyDescent="0.25">
      <c r="A19" s="3"/>
      <c r="B19" s="3">
        <v>4</v>
      </c>
      <c r="C19" s="3">
        <f t="shared" si="6"/>
        <v>760996.3617670174</v>
      </c>
      <c r="D19" s="22">
        <f>PMT($B$11,$B$10,-$C$16)</f>
        <v>87757.556938616151</v>
      </c>
      <c r="E19" s="3">
        <f t="shared" si="0"/>
        <v>5707.4727132526305</v>
      </c>
      <c r="F19" s="3">
        <f t="shared" si="1"/>
        <v>82050.08422536352</v>
      </c>
      <c r="G19" s="3">
        <f t="shared" si="2"/>
        <v>678946.27754165384</v>
      </c>
      <c r="H19" s="3"/>
      <c r="I19" s="3"/>
      <c r="J19" s="3">
        <v>4</v>
      </c>
      <c r="K19" s="3">
        <f t="shared" si="7"/>
        <v>752625</v>
      </c>
      <c r="L19" s="3">
        <f t="shared" si="3"/>
        <v>5644.6875</v>
      </c>
      <c r="M19" s="3">
        <f>$K$16/$B$10</f>
        <v>83625</v>
      </c>
      <c r="N19" s="3">
        <f t="shared" si="4"/>
        <v>669000</v>
      </c>
      <c r="O19" s="3">
        <f t="shared" si="5"/>
        <v>-89319.6875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</row>
    <row r="20" spans="1:63" x14ac:dyDescent="0.25">
      <c r="A20" s="3">
        <v>2</v>
      </c>
      <c r="B20" s="3">
        <v>1</v>
      </c>
      <c r="C20" s="3">
        <f t="shared" si="6"/>
        <v>678946.27754165384</v>
      </c>
      <c r="D20" s="22">
        <f>PMT($B$11,$B$10,-$C$16)</f>
        <v>87757.556938616151</v>
      </c>
      <c r="E20" s="3">
        <f t="shared" si="0"/>
        <v>5092.0970815624032</v>
      </c>
      <c r="F20" s="3">
        <f t="shared" si="1"/>
        <v>82665.459857053749</v>
      </c>
      <c r="G20" s="3">
        <f t="shared" si="2"/>
        <v>596280.81768460013</v>
      </c>
      <c r="H20" s="3"/>
      <c r="I20" s="3">
        <v>2</v>
      </c>
      <c r="J20" s="3">
        <v>1</v>
      </c>
      <c r="K20" s="3">
        <f t="shared" si="7"/>
        <v>669000</v>
      </c>
      <c r="L20" s="3">
        <f t="shared" si="3"/>
        <v>5017.5</v>
      </c>
      <c r="M20" s="3">
        <f>$K$16/$B$10</f>
        <v>83625</v>
      </c>
      <c r="N20" s="3">
        <f t="shared" si="4"/>
        <v>585375</v>
      </c>
      <c r="O20" s="3">
        <f t="shared" si="5"/>
        <v>-88692.5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</row>
    <row r="21" spans="1:63" x14ac:dyDescent="0.25">
      <c r="A21" s="3"/>
      <c r="B21" s="3">
        <v>2</v>
      </c>
      <c r="C21" s="3">
        <f t="shared" si="6"/>
        <v>596280.81768460013</v>
      </c>
      <c r="D21" s="22">
        <f>PMT($B$11,$B$10,-$C$16)</f>
        <v>87757.556938616151</v>
      </c>
      <c r="E21" s="3">
        <f t="shared" si="0"/>
        <v>4472.1061326345007</v>
      </c>
      <c r="F21" s="3">
        <f t="shared" si="1"/>
        <v>83285.450805981643</v>
      </c>
      <c r="G21" s="3">
        <f t="shared" si="2"/>
        <v>512995.36687861849</v>
      </c>
      <c r="H21" s="3"/>
      <c r="I21" s="3"/>
      <c r="J21" s="3">
        <v>2</v>
      </c>
      <c r="K21" s="3">
        <f t="shared" si="7"/>
        <v>585375</v>
      </c>
      <c r="L21" s="3">
        <f t="shared" si="3"/>
        <v>4390.3125</v>
      </c>
      <c r="M21" s="3">
        <f>$K$16/$B$10</f>
        <v>83625</v>
      </c>
      <c r="N21" s="3">
        <f t="shared" si="4"/>
        <v>501750</v>
      </c>
      <c r="O21" s="3">
        <f t="shared" si="5"/>
        <v>-88065.3125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</row>
    <row r="22" spans="1:63" x14ac:dyDescent="0.25">
      <c r="A22" s="3"/>
      <c r="B22" s="3">
        <v>3</v>
      </c>
      <c r="C22" s="3">
        <f t="shared" si="6"/>
        <v>512995.36687861849</v>
      </c>
      <c r="D22" s="22">
        <f>PMT($B$11,$B$10,-$C$16)</f>
        <v>87757.556938616151</v>
      </c>
      <c r="E22" s="3">
        <f t="shared" si="0"/>
        <v>3847.4652515896387</v>
      </c>
      <c r="F22" s="3">
        <f t="shared" si="1"/>
        <v>83910.091687026506</v>
      </c>
      <c r="G22" s="3">
        <f t="shared" si="2"/>
        <v>429085.27519159199</v>
      </c>
      <c r="H22" s="3"/>
      <c r="I22" s="3"/>
      <c r="J22" s="3">
        <v>3</v>
      </c>
      <c r="K22" s="3">
        <f t="shared" si="7"/>
        <v>501750</v>
      </c>
      <c r="L22" s="3">
        <f t="shared" si="3"/>
        <v>3763.125</v>
      </c>
      <c r="M22" s="3">
        <f>$K$16/$B$10</f>
        <v>83625</v>
      </c>
      <c r="N22" s="3">
        <f t="shared" si="4"/>
        <v>418125</v>
      </c>
      <c r="O22" s="3">
        <f t="shared" si="5"/>
        <v>-87438.125</v>
      </c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</row>
    <row r="23" spans="1:63" x14ac:dyDescent="0.25">
      <c r="A23" s="3"/>
      <c r="B23" s="3">
        <v>4</v>
      </c>
      <c r="C23" s="3">
        <f t="shared" si="6"/>
        <v>429085.27519159199</v>
      </c>
      <c r="D23" s="22">
        <f>PMT($B$11,$B$10,-$C$16)</f>
        <v>87757.556938616151</v>
      </c>
      <c r="E23" s="3">
        <f t="shared" si="0"/>
        <v>3218.1395639369398</v>
      </c>
      <c r="F23" s="3">
        <f t="shared" si="1"/>
        <v>84539.417374679208</v>
      </c>
      <c r="G23" s="3">
        <f t="shared" si="2"/>
        <v>344545.85781691282</v>
      </c>
      <c r="H23" s="3"/>
      <c r="I23" s="3"/>
      <c r="J23" s="3">
        <v>4</v>
      </c>
      <c r="K23" s="3">
        <f t="shared" si="7"/>
        <v>418125</v>
      </c>
      <c r="L23" s="3">
        <f t="shared" si="3"/>
        <v>3135.9375</v>
      </c>
      <c r="M23" s="3">
        <f>$K$16/$B$10</f>
        <v>83625</v>
      </c>
      <c r="N23" s="3">
        <f t="shared" si="4"/>
        <v>334500</v>
      </c>
      <c r="O23" s="3">
        <f t="shared" si="5"/>
        <v>-86810.9375</v>
      </c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</row>
    <row r="24" spans="1:63" x14ac:dyDescent="0.25">
      <c r="A24" s="3">
        <v>3</v>
      </c>
      <c r="B24" s="3">
        <v>1</v>
      </c>
      <c r="C24" s="3">
        <f t="shared" si="6"/>
        <v>344545.85781691282</v>
      </c>
      <c r="D24" s="22">
        <f>PMT($B$11,$B$10,-$C$16)</f>
        <v>87757.556938616151</v>
      </c>
      <c r="E24" s="3">
        <f t="shared" si="0"/>
        <v>2584.0939336268461</v>
      </c>
      <c r="F24" s="3">
        <f t="shared" si="1"/>
        <v>85173.463004989302</v>
      </c>
      <c r="G24" s="3">
        <f t="shared" si="2"/>
        <v>259372.3948119235</v>
      </c>
      <c r="H24" s="3"/>
      <c r="I24" s="3">
        <v>3</v>
      </c>
      <c r="J24" s="3">
        <v>1</v>
      </c>
      <c r="K24" s="3">
        <f t="shared" si="7"/>
        <v>334500</v>
      </c>
      <c r="L24" s="3">
        <f t="shared" si="3"/>
        <v>2508.75</v>
      </c>
      <c r="M24" s="3">
        <f>$K$16/$B$10</f>
        <v>83625</v>
      </c>
      <c r="N24" s="3">
        <f t="shared" si="4"/>
        <v>250875</v>
      </c>
      <c r="O24" s="3">
        <f t="shared" si="5"/>
        <v>-86183.75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</row>
    <row r="25" spans="1:63" x14ac:dyDescent="0.25">
      <c r="A25" s="3"/>
      <c r="B25" s="3">
        <v>2</v>
      </c>
      <c r="C25" s="3">
        <f t="shared" si="6"/>
        <v>259372.3948119235</v>
      </c>
      <c r="D25" s="22">
        <f>PMT($B$11,$B$10,-$C$16)</f>
        <v>87757.556938616151</v>
      </c>
      <c r="E25" s="3">
        <f t="shared" si="0"/>
        <v>1945.2929610894262</v>
      </c>
      <c r="F25" s="3">
        <f t="shared" si="1"/>
        <v>85812.263977526731</v>
      </c>
      <c r="G25" s="3">
        <f t="shared" si="2"/>
        <v>173560.13083439675</v>
      </c>
      <c r="H25" s="3"/>
      <c r="I25" s="3"/>
      <c r="J25" s="3">
        <v>2</v>
      </c>
      <c r="K25" s="3">
        <f t="shared" si="7"/>
        <v>250875</v>
      </c>
      <c r="L25" s="3">
        <f t="shared" si="3"/>
        <v>1881.5625</v>
      </c>
      <c r="M25" s="3">
        <f>$K$16/$B$10</f>
        <v>83625</v>
      </c>
      <c r="N25" s="3">
        <f t="shared" si="4"/>
        <v>167250</v>
      </c>
      <c r="O25" s="3">
        <f t="shared" si="5"/>
        <v>-85556.5625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</row>
    <row r="26" spans="1:63" x14ac:dyDescent="0.25">
      <c r="A26" s="3"/>
      <c r="B26" s="3">
        <v>3</v>
      </c>
      <c r="C26" s="3">
        <f t="shared" si="6"/>
        <v>173560.13083439675</v>
      </c>
      <c r="D26" s="22">
        <f>PMT($B$11,$B$10,-$C$16)</f>
        <v>87757.556938616151</v>
      </c>
      <c r="E26" s="3">
        <f t="shared" si="0"/>
        <v>1301.7009812579756</v>
      </c>
      <c r="F26" s="3">
        <f t="shared" si="1"/>
        <v>86455.855957358173</v>
      </c>
      <c r="G26" s="3">
        <f t="shared" si="2"/>
        <v>87104.274877038581</v>
      </c>
      <c r="H26" s="3"/>
      <c r="I26" s="3"/>
      <c r="J26" s="3">
        <v>3</v>
      </c>
      <c r="K26" s="3">
        <f t="shared" si="7"/>
        <v>167250</v>
      </c>
      <c r="L26" s="3">
        <f t="shared" si="3"/>
        <v>1254.375</v>
      </c>
      <c r="M26" s="3">
        <f>$K$16/$B$10</f>
        <v>83625</v>
      </c>
      <c r="N26" s="3">
        <f t="shared" si="4"/>
        <v>83625</v>
      </c>
      <c r="O26" s="3">
        <f t="shared" si="5"/>
        <v>-84929.375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</row>
    <row r="27" spans="1:63" x14ac:dyDescent="0.25">
      <c r="A27" s="3"/>
      <c r="B27" s="3">
        <v>4</v>
      </c>
      <c r="C27" s="3">
        <f t="shared" si="6"/>
        <v>87104.274877038581</v>
      </c>
      <c r="D27" s="22">
        <f>PMT($B$11,$B$10,-$C$16)</f>
        <v>87757.556938616151</v>
      </c>
      <c r="E27" s="3">
        <f t="shared" si="0"/>
        <v>653.28206157778936</v>
      </c>
      <c r="F27" s="3">
        <f t="shared" si="1"/>
        <v>87104.274877038362</v>
      </c>
      <c r="G27" s="3">
        <f t="shared" si="2"/>
        <v>2.1827872842550278E-10</v>
      </c>
      <c r="H27" s="3"/>
      <c r="I27" s="3"/>
      <c r="J27" s="3">
        <v>4</v>
      </c>
      <c r="K27" s="3">
        <f t="shared" si="7"/>
        <v>83625</v>
      </c>
      <c r="L27" s="3">
        <f t="shared" si="3"/>
        <v>627.1875</v>
      </c>
      <c r="M27" s="3">
        <f>$K$16/$B$10</f>
        <v>83625</v>
      </c>
      <c r="N27" s="3">
        <f t="shared" si="4"/>
        <v>0</v>
      </c>
      <c r="O27" s="3">
        <f t="shared" si="5"/>
        <v>-84302.1875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</row>
    <row r="28" spans="1:63" x14ac:dyDescent="0.25"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</row>
    <row r="29" spans="1:63" x14ac:dyDescent="0.25">
      <c r="B29" s="3"/>
      <c r="C29" s="5"/>
      <c r="E29" s="3"/>
      <c r="F29" s="3"/>
      <c r="G29" s="3"/>
      <c r="H29" s="3"/>
      <c r="I29" s="3"/>
      <c r="J29" s="3" t="s">
        <v>27</v>
      </c>
      <c r="K29" s="3"/>
      <c r="L29" s="5">
        <f>IRR(O15:O27)</f>
        <v>8.14777424796298E-3</v>
      </c>
      <c r="M29" s="3" t="s">
        <v>40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</row>
    <row r="30" spans="1:63" x14ac:dyDescent="0.25">
      <c r="B30" s="3"/>
      <c r="C30" s="5"/>
      <c r="E30" s="3"/>
      <c r="F30" s="3"/>
      <c r="G30" s="3"/>
      <c r="H30" s="3"/>
      <c r="I30" s="3"/>
      <c r="J30" s="3" t="s">
        <v>28</v>
      </c>
      <c r="K30" s="3"/>
      <c r="L30" s="5">
        <f>EFFECT(B5*L29,B5)</f>
        <v>3.2991582350061721E-2</v>
      </c>
      <c r="M30" s="3" t="s">
        <v>41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</row>
    <row r="31" spans="1:63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5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</row>
    <row r="32" spans="1:63" x14ac:dyDescent="0.25">
      <c r="A32" s="3"/>
      <c r="B32" s="2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</row>
    <row r="33" spans="2:63" x14ac:dyDescent="0.25">
      <c r="B33" s="3"/>
      <c r="C33" s="3"/>
      <c r="D33" s="25"/>
      <c r="E33" s="3"/>
      <c r="F33" s="3"/>
      <c r="G33" s="3"/>
      <c r="H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</row>
    <row r="34" spans="2:63" x14ac:dyDescent="0.25">
      <c r="B34" s="3"/>
      <c r="C34" s="3"/>
      <c r="D34" s="3"/>
      <c r="E34" s="3"/>
      <c r="F34" s="3"/>
      <c r="G34" s="3"/>
      <c r="H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</row>
    <row r="35" spans="2:63" x14ac:dyDescent="0.25">
      <c r="B35" s="3"/>
      <c r="C35" s="3"/>
      <c r="D35" s="3"/>
      <c r="E35" s="3"/>
      <c r="F35" s="3"/>
      <c r="G35" s="3"/>
      <c r="H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</row>
    <row r="36" spans="2:63" x14ac:dyDescent="0.25">
      <c r="B36" s="3"/>
      <c r="C36" s="3"/>
      <c r="D36" s="3"/>
      <c r="E36" s="3"/>
      <c r="F36" s="3"/>
      <c r="G36" s="3"/>
      <c r="H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</row>
    <row r="37" spans="2:63" x14ac:dyDescent="0.25">
      <c r="B37" s="3"/>
      <c r="C37" s="3"/>
      <c r="D37" s="3"/>
      <c r="E37" s="3"/>
      <c r="F37" s="3"/>
      <c r="G37" s="3"/>
      <c r="H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</row>
    <row r="38" spans="2:63" x14ac:dyDescent="0.25">
      <c r="B38" s="3"/>
      <c r="C38" s="3"/>
      <c r="D38" s="3"/>
      <c r="E38" s="3"/>
      <c r="F38" s="3"/>
      <c r="G38" s="3"/>
      <c r="H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</row>
    <row r="39" spans="2:63" x14ac:dyDescent="0.25">
      <c r="B39" s="3"/>
      <c r="C39" s="3"/>
      <c r="D39" s="3"/>
      <c r="E39" s="3"/>
      <c r="F39" s="3"/>
      <c r="G39" s="3"/>
      <c r="H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</row>
    <row r="40" spans="2:63" x14ac:dyDescent="0.25">
      <c r="B40" s="3"/>
      <c r="C40" s="3"/>
      <c r="D40" s="3"/>
      <c r="E40" s="3"/>
      <c r="F40" s="3"/>
      <c r="G40" s="3"/>
      <c r="H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</row>
    <row r="41" spans="2:63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</row>
    <row r="42" spans="2:63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</row>
    <row r="43" spans="2:63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</row>
    <row r="44" spans="2:63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</row>
    <row r="45" spans="2:63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</row>
    <row r="46" spans="2:63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</row>
    <row r="47" spans="2:63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</row>
    <row r="48" spans="2:63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</row>
    <row r="49" spans="2:63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</row>
    <row r="50" spans="2:63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</row>
    <row r="51" spans="2:63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</row>
    <row r="52" spans="2:63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</row>
    <row r="53" spans="2:63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</row>
    <row r="54" spans="2:63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</row>
    <row r="55" spans="2:63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</row>
    <row r="56" spans="2:63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</row>
    <row r="57" spans="2:63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</row>
    <row r="58" spans="2:63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</row>
    <row r="59" spans="2:63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</row>
    <row r="60" spans="2:63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</row>
    <row r="61" spans="2:63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</row>
    <row r="62" spans="2:63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</row>
    <row r="63" spans="2:63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</row>
    <row r="64" spans="2:63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</row>
    <row r="65" spans="2:63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</row>
    <row r="66" spans="2:63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</row>
    <row r="67" spans="2:63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</row>
    <row r="68" spans="2:63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</row>
    <row r="69" spans="2:63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</row>
    <row r="70" spans="2:63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</row>
    <row r="71" spans="2:63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</row>
    <row r="72" spans="2:63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</row>
    <row r="73" spans="2:63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</row>
    <row r="74" spans="2:63" x14ac:dyDescent="0.2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</row>
    <row r="75" spans="2:63" x14ac:dyDescent="0.2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</row>
    <row r="76" spans="2:63" x14ac:dyDescent="0.2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</row>
    <row r="77" spans="2:63" x14ac:dyDescent="0.2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</row>
    <row r="78" spans="2:63" x14ac:dyDescent="0.2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</row>
    <row r="79" spans="2:63" x14ac:dyDescent="0.2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</row>
    <row r="80" spans="2:63" x14ac:dyDescent="0.2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</row>
    <row r="81" spans="2:63" x14ac:dyDescent="0.2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</row>
    <row r="82" spans="2:63" x14ac:dyDescent="0.2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zoomScaleNormal="115" workbookViewId="0">
      <selection activeCell="B1" sqref="B1"/>
    </sheetView>
  </sheetViews>
  <sheetFormatPr baseColWidth="10" defaultColWidth="11.42578125" defaultRowHeight="15" x14ac:dyDescent="0.25"/>
  <cols>
    <col min="1" max="1" width="24.28515625" customWidth="1"/>
    <col min="2" max="2" width="13" customWidth="1"/>
  </cols>
  <sheetData>
    <row r="1" spans="1:4" x14ac:dyDescent="0.25">
      <c r="A1" s="19" t="s">
        <v>16</v>
      </c>
      <c r="C1" s="18"/>
    </row>
    <row r="3" spans="1:4" x14ac:dyDescent="0.25">
      <c r="A3" t="s">
        <v>15</v>
      </c>
      <c r="B3" s="17">
        <v>5000</v>
      </c>
    </row>
    <row r="4" spans="1:4" x14ac:dyDescent="0.25">
      <c r="A4" t="s">
        <v>14</v>
      </c>
      <c r="B4" s="16">
        <v>43014</v>
      </c>
    </row>
    <row r="5" spans="1:4" x14ac:dyDescent="0.25">
      <c r="A5" t="s">
        <v>13</v>
      </c>
      <c r="B5" s="16">
        <v>45800</v>
      </c>
    </row>
    <row r="6" spans="1:4" x14ac:dyDescent="0.25">
      <c r="A6" t="s">
        <v>12</v>
      </c>
      <c r="B6" s="15">
        <v>3.5000000000000003E-2</v>
      </c>
    </row>
    <row r="7" spans="1:4" x14ac:dyDescent="0.25">
      <c r="A7" t="s">
        <v>11</v>
      </c>
      <c r="B7" s="15">
        <v>0.05</v>
      </c>
    </row>
    <row r="8" spans="1:4" x14ac:dyDescent="0.25">
      <c r="A8" t="s">
        <v>10</v>
      </c>
      <c r="B8" s="2">
        <v>100</v>
      </c>
    </row>
    <row r="9" spans="1:4" x14ac:dyDescent="0.25">
      <c r="A9" t="s">
        <v>9</v>
      </c>
      <c r="B9" s="2">
        <v>2</v>
      </c>
    </row>
    <row r="10" spans="1:4" x14ac:dyDescent="0.25">
      <c r="D10" s="14"/>
    </row>
    <row r="11" spans="1:4" x14ac:dyDescent="0.25">
      <c r="B11" s="3"/>
    </row>
    <row r="12" spans="1:4" x14ac:dyDescent="0.25">
      <c r="A12" t="s">
        <v>8</v>
      </c>
      <c r="B12" s="13"/>
    </row>
    <row r="13" spans="1:4" x14ac:dyDescent="0.25">
      <c r="A13" t="s">
        <v>7</v>
      </c>
      <c r="B13" s="12"/>
    </row>
    <row r="15" spans="1:4" x14ac:dyDescent="0.25">
      <c r="A15" s="3"/>
      <c r="B15" s="3"/>
    </row>
    <row r="16" spans="1:4" x14ac:dyDescent="0.25">
      <c r="B16" s="10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0" zoomScaleNormal="110" workbookViewId="0">
      <selection activeCell="D12" sqref="D12"/>
    </sheetView>
  </sheetViews>
  <sheetFormatPr baseColWidth="10" defaultColWidth="11.42578125" defaultRowHeight="15" x14ac:dyDescent="0.25"/>
  <cols>
    <col min="1" max="1" width="24.28515625" customWidth="1"/>
    <col min="2" max="2" width="13" customWidth="1"/>
  </cols>
  <sheetData>
    <row r="1" spans="1:4" x14ac:dyDescent="0.25">
      <c r="A1" s="19" t="s">
        <v>16</v>
      </c>
      <c r="C1" s="18"/>
    </row>
    <row r="3" spans="1:4" x14ac:dyDescent="0.25">
      <c r="A3" t="s">
        <v>15</v>
      </c>
      <c r="B3" s="17">
        <v>5000</v>
      </c>
    </row>
    <row r="4" spans="1:4" x14ac:dyDescent="0.25">
      <c r="A4" t="s">
        <v>14</v>
      </c>
      <c r="B4" s="16">
        <v>43014</v>
      </c>
    </row>
    <row r="5" spans="1:4" x14ac:dyDescent="0.25">
      <c r="A5" t="s">
        <v>13</v>
      </c>
      <c r="B5" s="16">
        <v>45800</v>
      </c>
    </row>
    <row r="6" spans="1:4" x14ac:dyDescent="0.25">
      <c r="A6" t="s">
        <v>12</v>
      </c>
      <c r="B6" s="15">
        <v>3.5000000000000003E-2</v>
      </c>
    </row>
    <row r="7" spans="1:4" x14ac:dyDescent="0.25">
      <c r="A7" t="s">
        <v>11</v>
      </c>
      <c r="B7" s="15">
        <v>0.05</v>
      </c>
    </row>
    <row r="8" spans="1:4" x14ac:dyDescent="0.25">
      <c r="A8" t="s">
        <v>10</v>
      </c>
      <c r="B8" s="2">
        <v>100</v>
      </c>
    </row>
    <row r="9" spans="1:4" x14ac:dyDescent="0.25">
      <c r="A9" t="s">
        <v>9</v>
      </c>
      <c r="B9" s="2">
        <v>2</v>
      </c>
    </row>
    <row r="10" spans="1:4" x14ac:dyDescent="0.25">
      <c r="D10" s="14"/>
    </row>
    <row r="11" spans="1:4" x14ac:dyDescent="0.25">
      <c r="B11" s="3"/>
    </row>
    <row r="12" spans="1:4" x14ac:dyDescent="0.25">
      <c r="A12" t="s">
        <v>8</v>
      </c>
      <c r="B12" s="13">
        <f>PRICE(B4,B5,B6,B7,B8,B9)</f>
        <v>90.57666605102348</v>
      </c>
    </row>
    <row r="13" spans="1:4" x14ac:dyDescent="0.25">
      <c r="A13" t="s">
        <v>7</v>
      </c>
      <c r="B13" s="12">
        <f>(B3/B8)*B12</f>
        <v>4528.8333025511738</v>
      </c>
    </row>
    <row r="15" spans="1:4" x14ac:dyDescent="0.25">
      <c r="A15" s="3"/>
      <c r="B15" s="3"/>
    </row>
    <row r="16" spans="1:4" x14ac:dyDescent="0.25">
      <c r="B16" s="10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zoomScale="130" zoomScaleNormal="130" workbookViewId="0"/>
  </sheetViews>
  <sheetFormatPr baseColWidth="10" defaultRowHeight="12.75" x14ac:dyDescent="0.2"/>
  <cols>
    <col min="1" max="1" width="7.42578125" style="26" customWidth="1"/>
    <col min="2" max="5" width="10.7109375" style="26" customWidth="1"/>
    <col min="6" max="16384" width="11.42578125" style="26"/>
  </cols>
  <sheetData>
    <row r="2" spans="1:5" ht="15" x14ac:dyDescent="0.25">
      <c r="A2" s="27" t="s">
        <v>43</v>
      </c>
      <c r="B2" s="29">
        <v>0.08</v>
      </c>
    </row>
    <row r="4" spans="1:5" x14ac:dyDescent="0.2">
      <c r="A4" s="28" t="s">
        <v>44</v>
      </c>
      <c r="B4" s="57">
        <v>0</v>
      </c>
      <c r="C4" s="28">
        <v>1</v>
      </c>
      <c r="D4" s="28">
        <v>2</v>
      </c>
      <c r="E4" s="28">
        <v>3</v>
      </c>
    </row>
    <row r="5" spans="1:5" x14ac:dyDescent="0.2">
      <c r="A5" s="28"/>
      <c r="B5" s="58">
        <v>-800000</v>
      </c>
      <c r="C5" s="58">
        <v>300000</v>
      </c>
      <c r="D5" s="58">
        <v>500000</v>
      </c>
      <c r="E5" s="58">
        <v>200000</v>
      </c>
    </row>
    <row r="7" spans="1:5" x14ac:dyDescent="0.2">
      <c r="A7" s="27" t="s">
        <v>42</v>
      </c>
      <c r="B7" s="60"/>
    </row>
    <row r="8" spans="1:5" x14ac:dyDescent="0.2">
      <c r="A8" s="27" t="s">
        <v>45</v>
      </c>
      <c r="B8" s="59"/>
    </row>
    <row r="9" spans="1:5" x14ac:dyDescent="0.2">
      <c r="A9" s="27" t="s">
        <v>64</v>
      </c>
      <c r="B9" s="33"/>
    </row>
  </sheetData>
  <pageMargins left="0.78740157499999996" right="0.78740157499999996" top="0.984251969" bottom="0.984251969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zoomScale="130" zoomScaleNormal="130" workbookViewId="0">
      <selection activeCell="E11" sqref="E11"/>
    </sheetView>
  </sheetViews>
  <sheetFormatPr baseColWidth="10" defaultRowHeight="12.75" x14ac:dyDescent="0.2"/>
  <cols>
    <col min="1" max="1" width="7.42578125" style="26" customWidth="1"/>
    <col min="2" max="5" width="10.7109375" style="26" customWidth="1"/>
    <col min="6" max="16384" width="11.42578125" style="26"/>
  </cols>
  <sheetData>
    <row r="2" spans="1:5" ht="15" x14ac:dyDescent="0.25">
      <c r="A2" s="27" t="s">
        <v>43</v>
      </c>
      <c r="B2" s="29">
        <v>0.08</v>
      </c>
    </row>
    <row r="4" spans="1:5" x14ac:dyDescent="0.2">
      <c r="A4" s="66" t="s">
        <v>44</v>
      </c>
      <c r="B4" s="66">
        <v>0</v>
      </c>
      <c r="C4" s="66">
        <v>1</v>
      </c>
      <c r="D4" s="66">
        <v>2</v>
      </c>
      <c r="E4" s="66">
        <v>3</v>
      </c>
    </row>
    <row r="5" spans="1:5" x14ac:dyDescent="0.2">
      <c r="A5" s="66"/>
      <c r="B5" s="58">
        <v>-800000</v>
      </c>
      <c r="C5" s="58">
        <v>300000</v>
      </c>
      <c r="D5" s="58">
        <v>500000</v>
      </c>
      <c r="E5" s="58">
        <v>200000</v>
      </c>
    </row>
    <row r="7" spans="1:5" x14ac:dyDescent="0.2">
      <c r="A7" s="27" t="s">
        <v>42</v>
      </c>
      <c r="B7" s="60">
        <f>NPV($B$2,$C$5:$E$5)</f>
        <v>865213.63613270328</v>
      </c>
      <c r="C7" s="26" t="s">
        <v>65</v>
      </c>
    </row>
    <row r="8" spans="1:5" x14ac:dyDescent="0.2">
      <c r="A8" s="27" t="s">
        <v>45</v>
      </c>
      <c r="B8" s="59">
        <f>B5+B7</f>
        <v>65213.636132703279</v>
      </c>
      <c r="C8" s="26" t="s">
        <v>66</v>
      </c>
    </row>
    <row r="9" spans="1:5" x14ac:dyDescent="0.2">
      <c r="A9" s="27" t="s">
        <v>64</v>
      </c>
      <c r="B9" s="33">
        <f>IRR(B5:E5)</f>
        <v>0.12667423831844937</v>
      </c>
      <c r="C9" s="26" t="s">
        <v>67</v>
      </c>
    </row>
  </sheetData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="115" zoomScaleNormal="115" workbookViewId="0">
      <selection activeCell="A2" sqref="A2"/>
    </sheetView>
  </sheetViews>
  <sheetFormatPr baseColWidth="10" defaultRowHeight="12.75" x14ac:dyDescent="0.2"/>
  <cols>
    <col min="1" max="1" width="18" style="37" customWidth="1"/>
    <col min="2" max="9" width="10.7109375" style="37" customWidth="1"/>
    <col min="10" max="256" width="11.42578125" style="37"/>
    <col min="257" max="257" width="20.140625" style="37" customWidth="1"/>
    <col min="258" max="512" width="11.42578125" style="37"/>
    <col min="513" max="513" width="20.140625" style="37" customWidth="1"/>
    <col min="514" max="768" width="11.42578125" style="37"/>
    <col min="769" max="769" width="20.140625" style="37" customWidth="1"/>
    <col min="770" max="1024" width="11.42578125" style="37"/>
    <col min="1025" max="1025" width="20.140625" style="37" customWidth="1"/>
    <col min="1026" max="1280" width="11.42578125" style="37"/>
    <col min="1281" max="1281" width="20.140625" style="37" customWidth="1"/>
    <col min="1282" max="1536" width="11.42578125" style="37"/>
    <col min="1537" max="1537" width="20.140625" style="37" customWidth="1"/>
    <col min="1538" max="1792" width="11.42578125" style="37"/>
    <col min="1793" max="1793" width="20.140625" style="37" customWidth="1"/>
    <col min="1794" max="2048" width="11.42578125" style="37"/>
    <col min="2049" max="2049" width="20.140625" style="37" customWidth="1"/>
    <col min="2050" max="2304" width="11.42578125" style="37"/>
    <col min="2305" max="2305" width="20.140625" style="37" customWidth="1"/>
    <col min="2306" max="2560" width="11.42578125" style="37"/>
    <col min="2561" max="2561" width="20.140625" style="37" customWidth="1"/>
    <col min="2562" max="2816" width="11.42578125" style="37"/>
    <col min="2817" max="2817" width="20.140625" style="37" customWidth="1"/>
    <col min="2818" max="3072" width="11.42578125" style="37"/>
    <col min="3073" max="3073" width="20.140625" style="37" customWidth="1"/>
    <col min="3074" max="3328" width="11.42578125" style="37"/>
    <col min="3329" max="3329" width="20.140625" style="37" customWidth="1"/>
    <col min="3330" max="3584" width="11.42578125" style="37"/>
    <col min="3585" max="3585" width="20.140625" style="37" customWidth="1"/>
    <col min="3586" max="3840" width="11.42578125" style="37"/>
    <col min="3841" max="3841" width="20.140625" style="37" customWidth="1"/>
    <col min="3842" max="4096" width="11.42578125" style="37"/>
    <col min="4097" max="4097" width="20.140625" style="37" customWidth="1"/>
    <col min="4098" max="4352" width="11.42578125" style="37"/>
    <col min="4353" max="4353" width="20.140625" style="37" customWidth="1"/>
    <col min="4354" max="4608" width="11.42578125" style="37"/>
    <col min="4609" max="4609" width="20.140625" style="37" customWidth="1"/>
    <col min="4610" max="4864" width="11.42578125" style="37"/>
    <col min="4865" max="4865" width="20.140625" style="37" customWidth="1"/>
    <col min="4866" max="5120" width="11.42578125" style="37"/>
    <col min="5121" max="5121" width="20.140625" style="37" customWidth="1"/>
    <col min="5122" max="5376" width="11.42578125" style="37"/>
    <col min="5377" max="5377" width="20.140625" style="37" customWidth="1"/>
    <col min="5378" max="5632" width="11.42578125" style="37"/>
    <col min="5633" max="5633" width="20.140625" style="37" customWidth="1"/>
    <col min="5634" max="5888" width="11.42578125" style="37"/>
    <col min="5889" max="5889" width="20.140625" style="37" customWidth="1"/>
    <col min="5890" max="6144" width="11.42578125" style="37"/>
    <col min="6145" max="6145" width="20.140625" style="37" customWidth="1"/>
    <col min="6146" max="6400" width="11.42578125" style="37"/>
    <col min="6401" max="6401" width="20.140625" style="37" customWidth="1"/>
    <col min="6402" max="6656" width="11.42578125" style="37"/>
    <col min="6657" max="6657" width="20.140625" style="37" customWidth="1"/>
    <col min="6658" max="6912" width="11.42578125" style="37"/>
    <col min="6913" max="6913" width="20.140625" style="37" customWidth="1"/>
    <col min="6914" max="7168" width="11.42578125" style="37"/>
    <col min="7169" max="7169" width="20.140625" style="37" customWidth="1"/>
    <col min="7170" max="7424" width="11.42578125" style="37"/>
    <col min="7425" max="7425" width="20.140625" style="37" customWidth="1"/>
    <col min="7426" max="7680" width="11.42578125" style="37"/>
    <col min="7681" max="7681" width="20.140625" style="37" customWidth="1"/>
    <col min="7682" max="7936" width="11.42578125" style="37"/>
    <col min="7937" max="7937" width="20.140625" style="37" customWidth="1"/>
    <col min="7938" max="8192" width="11.42578125" style="37"/>
    <col min="8193" max="8193" width="20.140625" style="37" customWidth="1"/>
    <col min="8194" max="8448" width="11.42578125" style="37"/>
    <col min="8449" max="8449" width="20.140625" style="37" customWidth="1"/>
    <col min="8450" max="8704" width="11.42578125" style="37"/>
    <col min="8705" max="8705" width="20.140625" style="37" customWidth="1"/>
    <col min="8706" max="8960" width="11.42578125" style="37"/>
    <col min="8961" max="8961" width="20.140625" style="37" customWidth="1"/>
    <col min="8962" max="9216" width="11.42578125" style="37"/>
    <col min="9217" max="9217" width="20.140625" style="37" customWidth="1"/>
    <col min="9218" max="9472" width="11.42578125" style="37"/>
    <col min="9473" max="9473" width="20.140625" style="37" customWidth="1"/>
    <col min="9474" max="9728" width="11.42578125" style="37"/>
    <col min="9729" max="9729" width="20.140625" style="37" customWidth="1"/>
    <col min="9730" max="9984" width="11.42578125" style="37"/>
    <col min="9985" max="9985" width="20.140625" style="37" customWidth="1"/>
    <col min="9986" max="10240" width="11.42578125" style="37"/>
    <col min="10241" max="10241" width="20.140625" style="37" customWidth="1"/>
    <col min="10242" max="10496" width="11.42578125" style="37"/>
    <col min="10497" max="10497" width="20.140625" style="37" customWidth="1"/>
    <col min="10498" max="10752" width="11.42578125" style="37"/>
    <col min="10753" max="10753" width="20.140625" style="37" customWidth="1"/>
    <col min="10754" max="11008" width="11.42578125" style="37"/>
    <col min="11009" max="11009" width="20.140625" style="37" customWidth="1"/>
    <col min="11010" max="11264" width="11.42578125" style="37"/>
    <col min="11265" max="11265" width="20.140625" style="37" customWidth="1"/>
    <col min="11266" max="11520" width="11.42578125" style="37"/>
    <col min="11521" max="11521" width="20.140625" style="37" customWidth="1"/>
    <col min="11522" max="11776" width="11.42578125" style="37"/>
    <col min="11777" max="11777" width="20.140625" style="37" customWidth="1"/>
    <col min="11778" max="12032" width="11.42578125" style="37"/>
    <col min="12033" max="12033" width="20.140625" style="37" customWidth="1"/>
    <col min="12034" max="12288" width="11.42578125" style="37"/>
    <col min="12289" max="12289" width="20.140625" style="37" customWidth="1"/>
    <col min="12290" max="12544" width="11.42578125" style="37"/>
    <col min="12545" max="12545" width="20.140625" style="37" customWidth="1"/>
    <col min="12546" max="12800" width="11.42578125" style="37"/>
    <col min="12801" max="12801" width="20.140625" style="37" customWidth="1"/>
    <col min="12802" max="13056" width="11.42578125" style="37"/>
    <col min="13057" max="13057" width="20.140625" style="37" customWidth="1"/>
    <col min="13058" max="13312" width="11.42578125" style="37"/>
    <col min="13313" max="13313" width="20.140625" style="37" customWidth="1"/>
    <col min="13314" max="13568" width="11.42578125" style="37"/>
    <col min="13569" max="13569" width="20.140625" style="37" customWidth="1"/>
    <col min="13570" max="13824" width="11.42578125" style="37"/>
    <col min="13825" max="13825" width="20.140625" style="37" customWidth="1"/>
    <col min="13826" max="14080" width="11.42578125" style="37"/>
    <col min="14081" max="14081" width="20.140625" style="37" customWidth="1"/>
    <col min="14082" max="14336" width="11.42578125" style="37"/>
    <col min="14337" max="14337" width="20.140625" style="37" customWidth="1"/>
    <col min="14338" max="14592" width="11.42578125" style="37"/>
    <col min="14593" max="14593" width="20.140625" style="37" customWidth="1"/>
    <col min="14594" max="14848" width="11.42578125" style="37"/>
    <col min="14849" max="14849" width="20.140625" style="37" customWidth="1"/>
    <col min="14850" max="15104" width="11.42578125" style="37"/>
    <col min="15105" max="15105" width="20.140625" style="37" customWidth="1"/>
    <col min="15106" max="15360" width="11.42578125" style="37"/>
    <col min="15361" max="15361" width="20.140625" style="37" customWidth="1"/>
    <col min="15362" max="15616" width="11.42578125" style="37"/>
    <col min="15617" max="15617" width="20.140625" style="37" customWidth="1"/>
    <col min="15618" max="15872" width="11.42578125" style="37"/>
    <col min="15873" max="15873" width="20.140625" style="37" customWidth="1"/>
    <col min="15874" max="16128" width="11.42578125" style="37"/>
    <col min="16129" max="16129" width="20.140625" style="37" customWidth="1"/>
    <col min="16130" max="16384" width="11.42578125" style="37"/>
  </cols>
  <sheetData>
    <row r="1" spans="1:15" x14ac:dyDescent="0.2">
      <c r="A1" s="50" t="s">
        <v>63</v>
      </c>
      <c r="B1" s="52" t="s">
        <v>62</v>
      </c>
      <c r="C1" s="52" t="s">
        <v>61</v>
      </c>
      <c r="D1" s="52" t="s">
        <v>46</v>
      </c>
    </row>
    <row r="2" spans="1:15" ht="15" x14ac:dyDescent="0.25">
      <c r="B2" s="56">
        <v>0.2</v>
      </c>
      <c r="C2" s="55">
        <v>0.25</v>
      </c>
      <c r="D2" s="53">
        <v>14000</v>
      </c>
      <c r="K2" s="38"/>
      <c r="L2" s="38"/>
      <c r="M2" s="38"/>
      <c r="N2" s="38"/>
      <c r="O2" s="38"/>
    </row>
    <row r="3" spans="1:15" ht="15.75" x14ac:dyDescent="0.25">
      <c r="A3" s="54"/>
      <c r="C3" s="38"/>
      <c r="D3" s="38"/>
      <c r="E3" s="38"/>
      <c r="F3" s="38"/>
      <c r="G3" s="38"/>
      <c r="H3" s="38"/>
      <c r="K3" s="38"/>
      <c r="L3" s="38"/>
      <c r="M3" s="38"/>
      <c r="N3" s="38"/>
      <c r="O3" s="38"/>
    </row>
    <row r="4" spans="1:15" x14ac:dyDescent="0.2">
      <c r="B4" s="53">
        <v>0</v>
      </c>
      <c r="C4" s="53">
        <v>1</v>
      </c>
      <c r="D4" s="53">
        <v>2</v>
      </c>
      <c r="E4" s="53">
        <v>3</v>
      </c>
      <c r="F4" s="53">
        <v>4</v>
      </c>
      <c r="G4" s="53">
        <v>5</v>
      </c>
      <c r="H4" s="53">
        <v>6</v>
      </c>
      <c r="I4" s="52">
        <v>7</v>
      </c>
      <c r="K4" s="38"/>
      <c r="L4" s="38"/>
      <c r="M4" s="38"/>
      <c r="N4" s="38"/>
      <c r="O4" s="38"/>
    </row>
    <row r="5" spans="1:15" x14ac:dyDescent="0.2">
      <c r="A5" s="46" t="s">
        <v>60</v>
      </c>
      <c r="B5" s="47"/>
      <c r="C5" s="47">
        <v>7000</v>
      </c>
      <c r="D5" s="47">
        <v>9000</v>
      </c>
      <c r="E5" s="47">
        <v>8000</v>
      </c>
      <c r="F5" s="47">
        <v>9500</v>
      </c>
      <c r="G5" s="47">
        <v>9500</v>
      </c>
      <c r="H5" s="47">
        <v>8000</v>
      </c>
      <c r="I5" s="47">
        <v>5000</v>
      </c>
      <c r="J5" s="38"/>
      <c r="K5" s="38"/>
      <c r="L5" s="38"/>
      <c r="M5" s="38"/>
      <c r="N5" s="38"/>
      <c r="O5" s="38"/>
    </row>
    <row r="6" spans="1:15" x14ac:dyDescent="0.2">
      <c r="A6" s="46" t="s">
        <v>59</v>
      </c>
      <c r="B6" s="47"/>
      <c r="C6" s="47">
        <v>-3500</v>
      </c>
      <c r="D6" s="47">
        <v>-6000</v>
      </c>
      <c r="E6" s="47">
        <v>-5500</v>
      </c>
      <c r="F6" s="47">
        <v>-6500</v>
      </c>
      <c r="G6" s="47">
        <v>-6000</v>
      </c>
      <c r="H6" s="47">
        <v>-4000</v>
      </c>
      <c r="I6" s="47">
        <v>-2000</v>
      </c>
      <c r="J6" s="47"/>
      <c r="K6" s="38"/>
      <c r="L6" s="38"/>
      <c r="M6" s="38"/>
      <c r="N6" s="38"/>
      <c r="O6" s="38"/>
    </row>
    <row r="7" spans="1:15" x14ac:dyDescent="0.2">
      <c r="A7" s="40"/>
      <c r="B7" s="47"/>
      <c r="C7" s="47"/>
      <c r="D7" s="47"/>
      <c r="E7" s="47"/>
      <c r="F7" s="47"/>
      <c r="G7" s="47"/>
      <c r="H7" s="47"/>
      <c r="I7" s="47"/>
      <c r="J7" s="47"/>
      <c r="K7" s="38"/>
      <c r="L7" s="38"/>
      <c r="M7" s="38"/>
      <c r="N7" s="38"/>
      <c r="O7" s="38"/>
    </row>
    <row r="8" spans="1:15" x14ac:dyDescent="0.2">
      <c r="A8" s="46" t="s">
        <v>58</v>
      </c>
      <c r="B8" s="47"/>
      <c r="C8" s="47"/>
      <c r="D8" s="47"/>
      <c r="E8" s="47"/>
      <c r="F8" s="47"/>
      <c r="G8" s="47"/>
      <c r="H8" s="47"/>
      <c r="I8" s="47"/>
      <c r="J8" s="51"/>
      <c r="K8" s="38"/>
      <c r="L8" s="38"/>
      <c r="M8" s="38"/>
      <c r="N8" s="38"/>
      <c r="O8" s="38"/>
    </row>
    <row r="9" spans="1:15" x14ac:dyDescent="0.2">
      <c r="A9" s="46" t="s">
        <v>57</v>
      </c>
      <c r="B9" s="47"/>
      <c r="C9" s="47"/>
      <c r="D9" s="47"/>
      <c r="E9" s="47"/>
      <c r="F9" s="47"/>
      <c r="G9" s="47"/>
      <c r="H9" s="47"/>
      <c r="I9" s="47"/>
      <c r="J9" s="47"/>
      <c r="K9" s="38"/>
      <c r="L9" s="38"/>
      <c r="M9" s="38"/>
      <c r="N9" s="38"/>
      <c r="O9" s="38"/>
    </row>
    <row r="10" spans="1:15" x14ac:dyDescent="0.2">
      <c r="A10" s="46" t="s">
        <v>56</v>
      </c>
      <c r="B10" s="47"/>
      <c r="C10" s="47"/>
      <c r="D10" s="47"/>
      <c r="E10" s="47"/>
      <c r="F10" s="47"/>
      <c r="G10" s="47"/>
      <c r="H10" s="47"/>
      <c r="I10" s="47"/>
      <c r="J10" s="47"/>
      <c r="K10" s="38"/>
      <c r="L10" s="38"/>
      <c r="M10" s="38"/>
      <c r="N10" s="38"/>
      <c r="O10" s="38"/>
    </row>
    <row r="11" spans="1:15" x14ac:dyDescent="0.2">
      <c r="A11" s="40"/>
      <c r="B11" s="47"/>
      <c r="C11" s="47"/>
      <c r="D11" s="47"/>
      <c r="E11" s="47"/>
      <c r="F11" s="47"/>
      <c r="G11" s="47"/>
      <c r="H11" s="47"/>
      <c r="I11" s="47"/>
      <c r="J11" s="47"/>
      <c r="K11" s="38"/>
      <c r="L11" s="38"/>
      <c r="M11" s="38"/>
      <c r="N11" s="38"/>
      <c r="O11" s="38"/>
    </row>
    <row r="12" spans="1:15" x14ac:dyDescent="0.2">
      <c r="A12" s="46" t="s">
        <v>55</v>
      </c>
      <c r="B12" s="47"/>
      <c r="C12" s="47"/>
      <c r="D12" s="47"/>
      <c r="E12" s="47"/>
      <c r="F12" s="47"/>
      <c r="G12" s="47"/>
      <c r="H12" s="47"/>
      <c r="I12" s="47"/>
      <c r="J12" s="38"/>
      <c r="K12" s="38"/>
      <c r="L12" s="38"/>
      <c r="M12" s="38"/>
      <c r="N12" s="38"/>
      <c r="O12" s="38"/>
    </row>
    <row r="13" spans="1:15" x14ac:dyDescent="0.2">
      <c r="A13" s="46" t="s">
        <v>54</v>
      </c>
      <c r="B13" s="47"/>
      <c r="C13" s="47"/>
      <c r="D13" s="47"/>
      <c r="E13" s="47"/>
      <c r="F13" s="47"/>
      <c r="G13" s="47"/>
      <c r="H13" s="47"/>
      <c r="I13" s="47"/>
      <c r="J13" s="38"/>
      <c r="K13" s="38"/>
      <c r="L13" s="38"/>
      <c r="M13" s="38"/>
      <c r="N13" s="38"/>
      <c r="O13" s="38"/>
    </row>
    <row r="14" spans="1:15" x14ac:dyDescent="0.2">
      <c r="A14" s="40"/>
      <c r="B14" s="47"/>
      <c r="C14" s="47"/>
      <c r="D14" s="47"/>
      <c r="E14" s="47"/>
      <c r="F14" s="47"/>
      <c r="G14" s="47"/>
      <c r="H14" s="47"/>
      <c r="I14" s="47"/>
      <c r="J14" s="50"/>
      <c r="K14" s="38"/>
      <c r="L14" s="38"/>
      <c r="M14" s="38"/>
      <c r="N14" s="38"/>
      <c r="O14" s="38"/>
    </row>
    <row r="15" spans="1:15" x14ac:dyDescent="0.2">
      <c r="A15" s="46" t="s">
        <v>52</v>
      </c>
      <c r="B15" s="47"/>
      <c r="C15" s="47"/>
      <c r="D15" s="47"/>
      <c r="E15" s="47"/>
      <c r="F15" s="47"/>
      <c r="G15" s="47"/>
      <c r="H15" s="47"/>
      <c r="I15" s="47"/>
      <c r="J15" s="50"/>
      <c r="K15" s="38"/>
      <c r="L15" s="38"/>
      <c r="M15" s="38"/>
      <c r="N15" s="38"/>
      <c r="O15" s="38"/>
    </row>
    <row r="16" spans="1:15" ht="15" x14ac:dyDescent="0.25">
      <c r="A16" s="46" t="s">
        <v>50</v>
      </c>
      <c r="B16" s="49"/>
      <c r="C16" s="49"/>
      <c r="D16" s="49"/>
      <c r="E16" s="49"/>
      <c r="F16" s="49"/>
      <c r="G16" s="49"/>
      <c r="H16" s="49"/>
      <c r="I16" s="49"/>
      <c r="J16" s="48"/>
      <c r="K16" s="38"/>
      <c r="L16" s="38"/>
      <c r="M16" s="38"/>
      <c r="N16" s="38"/>
      <c r="O16" s="38"/>
    </row>
    <row r="17" spans="1:15" x14ac:dyDescent="0.2">
      <c r="B17" s="47"/>
      <c r="C17" s="47"/>
      <c r="D17" s="47"/>
      <c r="E17" s="63"/>
      <c r="F17" s="47"/>
      <c r="G17" s="47"/>
      <c r="H17" s="47"/>
      <c r="I17" s="47"/>
      <c r="J17" s="64"/>
      <c r="K17" s="38"/>
      <c r="L17" s="38"/>
      <c r="M17" s="38"/>
      <c r="N17" s="38"/>
      <c r="O17" s="38"/>
    </row>
    <row r="18" spans="1:15" x14ac:dyDescent="0.2">
      <c r="A18" s="61" t="s">
        <v>49</v>
      </c>
      <c r="B18" s="62"/>
      <c r="C18" s="63"/>
      <c r="D18" s="47"/>
      <c r="E18" s="47"/>
      <c r="F18" s="47"/>
      <c r="G18" s="47"/>
      <c r="H18" s="47"/>
      <c r="I18" s="47"/>
      <c r="J18" s="38"/>
      <c r="K18" s="38"/>
      <c r="L18" s="38"/>
      <c r="M18" s="38"/>
      <c r="N18" s="38"/>
      <c r="O18" s="38"/>
    </row>
    <row r="19" spans="1:15" x14ac:dyDescent="0.2">
      <c r="A19" s="46" t="s">
        <v>48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45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x14ac:dyDescent="0.2">
      <c r="A26" s="44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</row>
    <row r="27" spans="1:15" x14ac:dyDescent="0.2">
      <c r="A27" s="40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</row>
    <row r="28" spans="1:15" x14ac:dyDescent="0.2">
      <c r="A28" s="40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43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43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ht="15.75" x14ac:dyDescent="0.25">
      <c r="A33" s="42"/>
      <c r="B33" s="41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40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40"/>
      <c r="B35" s="39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</sheetData>
  <pageMargins left="0.78740157499999996" right="0.78740157499999996" top="0.984251969" bottom="0.984251969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5.1 Annuitetslån</vt:lpstr>
      <vt:lpstr>5.1 Annuitetslån løsn</vt:lpstr>
      <vt:lpstr>5.1 Serielån</vt:lpstr>
      <vt:lpstr>5.1 Serielån løsn</vt:lpstr>
      <vt:lpstr>5.2 Obligasjon</vt:lpstr>
      <vt:lpstr>5.2 Obligasjon løsn</vt:lpstr>
      <vt:lpstr>5.3 Nåverdi</vt:lpstr>
      <vt:lpstr>5.3 Nåverdi løsn</vt:lpstr>
      <vt:lpstr>5.3 Investering</vt:lpstr>
      <vt:lpstr>5.3 Investering løsn</vt:lpstr>
      <vt:lpstr>5.3 To "IR"</vt:lpstr>
      <vt:lpstr>5.3 To"IR" løsn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2016-01-23T13:54:52Z</dcterms:created>
  <dcterms:modified xsi:type="dcterms:W3CDTF">2017-03-21T08:55:13Z</dcterms:modified>
</cp:coreProperties>
</file>